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Y:\Frogs\1946 Colorado- Greenwood\5. Financing\3. TCAC-CDLAC\2. Final\Tab 40 - Joint TCAC-CDLAC Workbook\"/>
    </mc:Choice>
  </mc:AlternateContent>
  <xr:revisionPtr revIDLastSave="0" documentId="13_ncr:1_{6FEDFEC6-5BCE-4268-9E7B-66ED395D95E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5"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Forma'!$A$1:$AH$78</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Forma'!$A$1:$AH$78</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1" i="3" l="1"/>
  <c r="W481" i="3"/>
  <c r="AG452" i="3"/>
  <c r="AG457" i="3"/>
  <c r="AA927" i="3"/>
  <c r="G53" i="7"/>
  <c r="I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6" i="7" l="1"/>
  <c r="E58" i="7"/>
  <c r="K53" i="7"/>
  <c r="I56" i="7" l="1"/>
  <c r="G58" i="7"/>
  <c r="M53" i="7"/>
  <c r="I58" i="7" l="1"/>
  <c r="K56" i="7"/>
  <c r="O53" i="7"/>
  <c r="M56" i="7" l="1"/>
  <c r="K58" i="7"/>
  <c r="Q53" i="7"/>
  <c r="M58" i="7" l="1"/>
  <c r="O56" i="7"/>
  <c r="S53" i="7"/>
  <c r="Q56" i="7" l="1"/>
  <c r="O58" i="7"/>
  <c r="U53" i="7"/>
  <c r="S56" i="7" l="1"/>
  <c r="Q58" i="7"/>
  <c r="W53" i="7"/>
  <c r="U56" i="7" l="1"/>
  <c r="S58" i="7"/>
  <c r="Y53" i="7"/>
  <c r="W56" i="7" l="1"/>
  <c r="U58" i="7"/>
  <c r="AA53" i="7"/>
  <c r="Y56" i="7" l="1"/>
  <c r="W58" i="7"/>
  <c r="AC53" i="7"/>
  <c r="AA56" i="7" l="1"/>
  <c r="Y58" i="7"/>
  <c r="AE53" i="7"/>
  <c r="AC56" i="7" l="1"/>
  <c r="AA58" i="7"/>
  <c r="AG53" i="7"/>
  <c r="AE56" i="7" l="1"/>
  <c r="AC58" i="7"/>
  <c r="AA928" i="3"/>
  <c r="AG56" i="7" l="1"/>
  <c r="AG58" i="7" s="1"/>
  <c r="AE58" i="7"/>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G100" i="21"/>
  <c r="B96" i="21"/>
  <c r="B81" i="21"/>
  <c r="B106" i="21"/>
  <c r="B49" i="21"/>
  <c r="B58" i="21"/>
  <c r="C5" i="7" l="1"/>
  <c r="BE10" i="3"/>
  <c r="BE11" i="3" s="1"/>
  <c r="P18" i="21"/>
  <c r="BE12" i="3" l="1"/>
  <c r="BE13" i="3" s="1"/>
  <c r="BE14" i="3" s="1"/>
  <c r="BE15" i="3" s="1"/>
  <c r="G159" i="21"/>
  <c r="I17" i="21" s="1"/>
  <c r="BN150" i="3" l="1"/>
  <c r="C177" i="20" l="1"/>
  <c r="U387" i="20"/>
  <c r="AJ724" i="20"/>
  <c r="L90" i="21"/>
  <c r="X760" i="3" l="1"/>
  <c r="AH760" i="3"/>
  <c r="BF759" i="3"/>
  <c r="BS759" i="3"/>
  <c r="BS760" i="3"/>
  <c r="AJ1029" i="3"/>
  <c r="BF748" i="3" l="1"/>
  <c r="AH759" i="3"/>
  <c r="AH750" i="3"/>
  <c r="AY1036" i="3"/>
  <c r="G761" i="3"/>
  <c r="AX703" i="20" l="1"/>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K733" i="3" l="1"/>
  <c r="K730" i="3"/>
  <c r="K727" i="3"/>
  <c r="A33" i="7"/>
  <c r="A32" i="7"/>
  <c r="K731" i="3" l="1"/>
  <c r="K728" i="3"/>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1" i="7"/>
  <c r="E30" i="7"/>
  <c r="E29" i="7"/>
  <c r="E26" i="7"/>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CZ730" i="3"/>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DE733" i="3"/>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66" i="4"/>
  <c r="B68" i="4"/>
  <c r="R66" i="4"/>
  <c r="R68" i="4"/>
  <c r="A104" i="11"/>
  <c r="C101" i="11"/>
  <c r="C102" i="11"/>
  <c r="C103" i="11"/>
  <c r="C104" i="11"/>
  <c r="B101" i="11"/>
  <c r="B102" i="11"/>
  <c r="B103" i="11"/>
  <c r="B104" i="11"/>
  <c r="C88" i="11"/>
  <c r="C93" i="11"/>
  <c r="B88" i="11"/>
  <c r="B93" i="11"/>
  <c r="A70" i="11"/>
  <c r="C67" i="11"/>
  <c r="C69" i="11"/>
  <c r="B67" i="11"/>
  <c r="B69" i="11"/>
  <c r="A62" i="11"/>
  <c r="A54" i="11"/>
  <c r="A38" i="11"/>
  <c r="A26" i="11"/>
  <c r="C33" i="11"/>
  <c r="C35" i="11"/>
  <c r="B33" i="11"/>
  <c r="B35"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8" i="13"/>
  <c r="F68" i="13" s="1"/>
  <c r="B66" i="13"/>
  <c r="B68" i="13"/>
  <c r="A53" i="13"/>
  <c r="H36" i="13"/>
  <c r="H24" i="13"/>
  <c r="E24" i="13"/>
  <c r="B24" i="13"/>
  <c r="A61" i="15"/>
  <c r="BA487" i="3"/>
  <c r="BA478" i="3"/>
  <c r="B100" i="4"/>
  <c r="R100" i="4"/>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87" i="13"/>
  <c r="F87" i="13" s="1"/>
  <c r="E49" i="13"/>
  <c r="F49" i="13" s="1"/>
  <c r="E34" i="13"/>
  <c r="F34" i="13" s="1"/>
  <c r="E32" i="13"/>
  <c r="F32" i="13" s="1"/>
  <c r="E29" i="13"/>
  <c r="F29" i="13" s="1"/>
  <c r="E27" i="13"/>
  <c r="E25" i="13"/>
  <c r="E23" i="13"/>
  <c r="E22" i="13"/>
  <c r="E21" i="13"/>
  <c r="E20" i="13"/>
  <c r="E19" i="13"/>
  <c r="E18" i="13"/>
  <c r="E17" i="13"/>
  <c r="E15" i="13"/>
  <c r="E14" i="13"/>
  <c r="B92" i="13"/>
  <c r="C92" i="13" s="1"/>
  <c r="B87" i="13"/>
  <c r="C87" i="13" s="1"/>
  <c r="B76" i="13"/>
  <c r="B74" i="13"/>
  <c r="B73" i="13"/>
  <c r="B72" i="13"/>
  <c r="B60" i="13"/>
  <c r="C60" i="13" s="1"/>
  <c r="B59" i="13"/>
  <c r="C59" i="13" s="1"/>
  <c r="B49" i="13"/>
  <c r="C49" i="13" s="1"/>
  <c r="B34" i="13"/>
  <c r="C34" i="13" s="1"/>
  <c r="B32" i="13"/>
  <c r="C32" i="13" s="1"/>
  <c r="B29" i="13"/>
  <c r="C29" i="13" s="1"/>
  <c r="B27" i="13"/>
  <c r="B25" i="13"/>
  <c r="B23" i="13"/>
  <c r="B22" i="13"/>
  <c r="B21" i="13"/>
  <c r="B20" i="13"/>
  <c r="B19" i="13"/>
  <c r="B18" i="13"/>
  <c r="B17" i="13"/>
  <c r="B6" i="13"/>
  <c r="B7" i="13"/>
  <c r="B9"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2" i="4"/>
  <c r="R87" i="4"/>
  <c r="R76" i="4"/>
  <c r="R72" i="4"/>
  <c r="R73" i="4"/>
  <c r="R74" i="4"/>
  <c r="R60" i="4"/>
  <c r="R59" i="4"/>
  <c r="R49" i="4"/>
  <c r="R34" i="4"/>
  <c r="R32" i="4"/>
  <c r="R29" i="4"/>
  <c r="R27" i="4"/>
  <c r="R25" i="4"/>
  <c r="R23" i="4"/>
  <c r="R22" i="4"/>
  <c r="R21" i="4"/>
  <c r="R20" i="4"/>
  <c r="R19" i="4"/>
  <c r="R18" i="4"/>
  <c r="R17" i="4"/>
  <c r="R15" i="4"/>
  <c r="R14" i="4"/>
  <c r="R9" i="4"/>
  <c r="R7" i="4"/>
  <c r="R6" i="4"/>
  <c r="R4" i="4"/>
  <c r="B5" i="11"/>
  <c r="C5" i="11"/>
  <c r="B7" i="11"/>
  <c r="C7" i="11"/>
  <c r="C8" i="11"/>
  <c r="B8" i="11"/>
  <c r="B10" i="11"/>
  <c r="C10" i="11"/>
  <c r="B15" i="11"/>
  <c r="C15" i="11"/>
  <c r="B16" i="11"/>
  <c r="C16" i="11"/>
  <c r="B18" i="11"/>
  <c r="C18" i="11"/>
  <c r="B19" i="11"/>
  <c r="C19" i="11"/>
  <c r="B20" i="11"/>
  <c r="C20" i="11"/>
  <c r="B21" i="11"/>
  <c r="C21" i="11"/>
  <c r="B22" i="11"/>
  <c r="C22" i="11"/>
  <c r="B23" i="11"/>
  <c r="C23" i="11"/>
  <c r="B24" i="11"/>
  <c r="B28" i="11"/>
  <c r="C28" i="11"/>
  <c r="B30" i="11"/>
  <c r="C30" i="11"/>
  <c r="B50" i="11"/>
  <c r="C50" i="11"/>
  <c r="B60" i="11"/>
  <c r="C60" i="11"/>
  <c r="B61" i="11"/>
  <c r="C61" i="11"/>
  <c r="B73" i="11"/>
  <c r="C73" i="11"/>
  <c r="B74" i="11"/>
  <c r="C74" i="11"/>
  <c r="B75" i="11"/>
  <c r="C75" i="11"/>
  <c r="B77" i="11"/>
  <c r="C77" i="1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D8" i="4"/>
  <c r="D11" i="4"/>
  <c r="D26" i="4"/>
  <c r="D38" i="4"/>
  <c r="D42" i="4"/>
  <c r="D54" i="4"/>
  <c r="D62" i="4"/>
  <c r="D77" i="4"/>
  <c r="D96" i="4"/>
  <c r="D104" i="4"/>
  <c r="F2" i="4"/>
  <c r="G2" i="4"/>
  <c r="H2" i="4"/>
  <c r="I2" i="4"/>
  <c r="J2" i="4"/>
  <c r="K2" i="4"/>
  <c r="L2" i="4"/>
  <c r="M2" i="4"/>
  <c r="N2" i="4"/>
  <c r="O2" i="4"/>
  <c r="P2" i="4"/>
  <c r="Q2" i="4"/>
  <c r="B4"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2" i="4"/>
  <c r="B34" i="4"/>
  <c r="K38" i="4"/>
  <c r="L38" i="4"/>
  <c r="O38" i="4"/>
  <c r="P38" i="4"/>
  <c r="P42" i="4"/>
  <c r="P54" i="4"/>
  <c r="P62" i="4"/>
  <c r="P70" i="4"/>
  <c r="P77" i="4"/>
  <c r="P96" i="4"/>
  <c r="P104" i="4"/>
  <c r="Q38" i="4"/>
  <c r="G42" i="4"/>
  <c r="H42" i="4"/>
  <c r="K42" i="4"/>
  <c r="L42" i="4"/>
  <c r="O42" i="4"/>
  <c r="Q42" i="4"/>
  <c r="B49"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G104" i="4"/>
  <c r="H104" i="4"/>
  <c r="K104" i="4"/>
  <c r="L104" i="4"/>
  <c r="Q104" i="4"/>
  <c r="F108" i="4"/>
  <c r="F30" i="4" s="1"/>
  <c r="F38" i="4" s="1"/>
  <c r="J108" i="4"/>
  <c r="K108" i="4"/>
  <c r="L108" i="4"/>
  <c r="M108" i="4"/>
  <c r="N108" i="4"/>
  <c r="O108" i="4"/>
  <c r="P108" i="4"/>
  <c r="Q108" i="4"/>
  <c r="B131" i="4"/>
  <c r="I184" i="3"/>
  <c r="W427"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B26" i="13" l="1"/>
  <c r="BE23" i="3"/>
  <c r="B26" i="4"/>
  <c r="D35" i="11"/>
  <c r="T20" i="21"/>
  <c r="AD7" i="15"/>
  <c r="BE69" i="3"/>
  <c r="D103" i="11"/>
  <c r="D25" i="11"/>
  <c r="D93" i="11"/>
  <c r="D101" i="11"/>
  <c r="D33" i="11"/>
  <c r="D88" i="11"/>
  <c r="D104" i="11"/>
  <c r="D75" i="11"/>
  <c r="L12" i="4"/>
  <c r="H12" i="4"/>
  <c r="D20" i="11"/>
  <c r="D15" i="11"/>
  <c r="D8" i="11"/>
  <c r="D12" i="13"/>
  <c r="D74" i="11"/>
  <c r="D77" i="11"/>
  <c r="D73" i="11"/>
  <c r="D50" i="11"/>
  <c r="D21" i="11"/>
  <c r="D16" i="11"/>
  <c r="D5" i="11"/>
  <c r="D28" i="11"/>
  <c r="N63" i="4"/>
  <c r="N97" i="4" s="1"/>
  <c r="N105" i="4" s="1"/>
  <c r="D12" i="4"/>
  <c r="F12" i="4"/>
  <c r="D24" i="11"/>
  <c r="O12" i="4"/>
  <c r="D10" i="11"/>
  <c r="Q12" i="4"/>
  <c r="K12" i="4"/>
  <c r="D61" i="11"/>
  <c r="J12" i="4"/>
  <c r="D30" i="11"/>
  <c r="D22" i="11"/>
  <c r="O63" i="4"/>
  <c r="O97" i="4" s="1"/>
  <c r="O105" i="4" s="1"/>
  <c r="M63" i="4"/>
  <c r="M97" i="4" s="1"/>
  <c r="M105" i="4" s="1"/>
  <c r="N12" i="4"/>
  <c r="I12" i="4"/>
  <c r="D102" i="11"/>
  <c r="P63" i="4"/>
  <c r="P97" i="4" s="1"/>
  <c r="P105" i="4" s="1"/>
  <c r="F63" i="4"/>
  <c r="F97" i="4" s="1"/>
  <c r="F105" i="4" s="1"/>
  <c r="I63" i="13"/>
  <c r="I97" i="13" s="1"/>
  <c r="I105" i="13" s="1"/>
  <c r="I107" i="13" s="1"/>
  <c r="I63" i="4"/>
  <c r="I97" i="4" s="1"/>
  <c r="L63" i="4"/>
  <c r="L97" i="4" s="1"/>
  <c r="L105" i="4" s="1"/>
  <c r="D18" i="11"/>
  <c r="J63" i="4"/>
  <c r="J97" i="4" s="1"/>
  <c r="J105" i="4" s="1"/>
  <c r="Q63" i="4"/>
  <c r="Q97" i="4" s="1"/>
  <c r="Q105" i="4" s="1"/>
  <c r="J63" i="13"/>
  <c r="J97" i="13" s="1"/>
  <c r="J105" i="13" s="1"/>
  <c r="J107" i="13" s="1"/>
  <c r="D60" i="11"/>
  <c r="M12" i="4"/>
  <c r="D63" i="4"/>
  <c r="D97" i="4" s="1"/>
  <c r="D105" i="4" s="1"/>
  <c r="BE68" i="3" s="1"/>
  <c r="R26" i="4"/>
  <c r="D63" i="13"/>
  <c r="D97" i="13" s="1"/>
  <c r="D105" i="13" s="1"/>
  <c r="D23" i="11"/>
  <c r="D19" i="11"/>
  <c r="D7" i="11"/>
  <c r="G63" i="13"/>
  <c r="G97" i="13" s="1"/>
  <c r="G105" i="13" s="1"/>
  <c r="G107" i="13" s="1"/>
  <c r="C27" i="11"/>
  <c r="T63" i="4"/>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C7" i="7"/>
  <c r="G12" i="4"/>
  <c r="G113" i="21"/>
  <c r="AA29" i="7"/>
  <c r="O29" i="7"/>
  <c r="AY1012" i="3"/>
  <c r="I1057" i="3" s="1"/>
  <c r="C806"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AJ1025" i="3"/>
  <c r="BS761" i="3"/>
  <c r="BT759" i="3" s="1"/>
  <c r="BU759" i="3" s="1"/>
  <c r="AB233" i="20"/>
  <c r="AB249" i="20" s="1"/>
  <c r="AB251" i="20" s="1"/>
  <c r="AB253" i="20" s="1"/>
  <c r="AB259" i="20" s="1"/>
  <c r="AD208" i="20" s="1"/>
  <c r="AD210" i="20" s="1"/>
  <c r="AP388" i="20"/>
  <c r="AQ388" i="20" s="1"/>
  <c r="AK548" i="20"/>
  <c r="T835" i="20" s="1"/>
  <c r="BF761" i="3"/>
  <c r="CU761" i="3"/>
  <c r="EC656" i="3" s="1"/>
  <c r="Y7" i="15"/>
  <c r="AI7" i="15"/>
  <c r="EZ726" i="3"/>
  <c r="CP761" i="3"/>
  <c r="DX677" i="3" s="1"/>
  <c r="DU761" i="3"/>
  <c r="AG29" i="7"/>
  <c r="K29" i="7"/>
  <c r="S29" i="7"/>
  <c r="AP379" i="20"/>
  <c r="AQ379" i="20" s="1"/>
  <c r="T838" i="20"/>
  <c r="T830" i="20"/>
  <c r="AF830" i="20" s="1"/>
  <c r="BE75" i="3" s="1"/>
  <c r="R21" i="21" a="1"/>
  <c r="R21" i="21"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R28" i="21" a="1"/>
  <c r="R28" i="21" s="1"/>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R33" i="21" a="1"/>
  <c r="R33" i="21" s="1"/>
  <c r="R24" i="21" a="1"/>
  <c r="R24" i="21" s="1"/>
  <c r="E27" i="21"/>
  <c r="G51" i="21"/>
  <c r="E26" i="21"/>
  <c r="E24" i="21"/>
  <c r="F24" i="21" s="1"/>
  <c r="G40" i="8"/>
  <c r="E28" i="21"/>
  <c r="E25" i="21"/>
  <c r="F25" i="21" s="1"/>
  <c r="G25" i="21" s="1"/>
  <c r="D27" i="11" l="1"/>
  <c r="T97" i="4"/>
  <c r="H63" i="13"/>
  <c r="BE71" i="3"/>
  <c r="AS373" i="20"/>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U734" i="3" s="1"/>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EC653" i="3"/>
  <c r="EC655" i="3"/>
  <c r="EC661" i="3"/>
  <c r="EC657" i="3"/>
  <c r="DX654" i="3"/>
  <c r="EC646" i="3"/>
  <c r="EC658" i="3"/>
  <c r="DU786" i="3"/>
  <c r="EC665" i="3"/>
  <c r="EC664" i="3"/>
  <c r="EC651" i="3"/>
  <c r="EC676" i="3"/>
  <c r="EC677" i="3"/>
  <c r="EC654" i="3"/>
  <c r="EC659" i="3"/>
  <c r="EC648" i="3"/>
  <c r="EC652" i="3"/>
  <c r="EC663" i="3"/>
  <c r="AW117" i="20"/>
  <c r="AW115" i="20"/>
  <c r="EM644" i="3"/>
  <c r="EC662" i="3"/>
  <c r="EC649" i="3"/>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43" i="3"/>
  <c r="EH655" i="3"/>
  <c r="EH653" i="3"/>
  <c r="EH657" i="3"/>
  <c r="EH658" i="3"/>
  <c r="EH677" i="3"/>
  <c r="EH660" i="3"/>
  <c r="EH656" i="3"/>
  <c r="EH644" i="3"/>
  <c r="DD763" i="3"/>
  <c r="EH650"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62" i="3"/>
  <c r="DI763" i="3"/>
  <c r="EM677" i="3"/>
  <c r="EM645" i="3"/>
  <c r="EM665" i="3"/>
  <c r="EM663" i="3"/>
  <c r="EM676" i="3"/>
  <c r="EM648" i="3"/>
  <c r="EM653" i="3"/>
  <c r="EM655" i="3"/>
  <c r="EM647" i="3"/>
  <c r="EM657" i="3"/>
  <c r="EM664" i="3"/>
  <c r="EM652" i="3"/>
  <c r="EM646" i="3"/>
  <c r="EM656" i="3"/>
  <c r="EH645" i="3"/>
  <c r="ET807" i="3"/>
  <c r="EM643" i="3"/>
  <c r="EM651" i="3"/>
  <c r="E6" i="7"/>
  <c r="E29" i="21"/>
  <c r="G24" i="21"/>
  <c r="O27" i="21" l="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T105" i="4"/>
  <c r="H97" i="13"/>
  <c r="P29" i="21" a="1"/>
  <c r="P29" i="21" s="1"/>
  <c r="S29" i="21" s="1"/>
  <c r="P31" i="21" a="1"/>
  <c r="P31" i="21" s="1"/>
  <c r="S31" i="21" s="1"/>
  <c r="P30" i="21" a="1"/>
  <c r="P30" i="21" s="1"/>
  <c r="S30" i="21" s="1"/>
  <c r="P28" i="21" a="1"/>
  <c r="P28" i="21" s="1"/>
  <c r="S28" i="21" s="1"/>
  <c r="P20" i="21" a="1"/>
  <c r="P20" i="21" s="1"/>
  <c r="S20" i="21" s="1"/>
  <c r="DU763" i="3"/>
  <c r="O764" i="3" s="1"/>
  <c r="BG761" i="3"/>
  <c r="BT761" i="3"/>
  <c r="AX708" i="20"/>
  <c r="AO708" i="20" s="1"/>
  <c r="BH726" i="3"/>
  <c r="DX678" i="3"/>
  <c r="E129" i="20" s="1"/>
  <c r="E132" i="20" s="1"/>
  <c r="E135" i="20" s="1"/>
  <c r="AW121" i="20"/>
  <c r="EW678" i="3"/>
  <c r="AD129" i="20" s="1"/>
  <c r="AD132" i="20" s="1"/>
  <c r="AD135" i="20" s="1"/>
  <c r="ER678" i="3"/>
  <c r="Y129" i="20" s="1"/>
  <c r="Y132" i="20" s="1"/>
  <c r="Y135" i="20" s="1"/>
  <c r="AJ995" i="3"/>
  <c r="AB999" i="3"/>
  <c r="AJ999" i="3" s="1"/>
  <c r="G6" i="7"/>
  <c r="E7" i="7"/>
  <c r="F27" i="21"/>
  <c r="G52" i="21"/>
  <c r="G54" i="21" s="1"/>
  <c r="G56" i="21" s="1"/>
  <c r="E12" i="21" s="1"/>
  <c r="F28" i="21"/>
  <c r="G28" i="21" s="1"/>
  <c r="G61" i="21"/>
  <c r="G63" i="21" s="1"/>
  <c r="G65" i="21" s="1"/>
  <c r="E13" i="21" s="1"/>
  <c r="AK190" i="20" l="1"/>
  <c r="T827" i="20"/>
  <c r="AF827" i="20" s="1"/>
  <c r="H105" i="13"/>
  <c r="T107" i="4"/>
  <c r="H107" i="13" s="1"/>
  <c r="G45" i="21"/>
  <c r="G47" i="21" s="1"/>
  <c r="E10" i="21" s="1"/>
  <c r="E11" i="21"/>
  <c r="AP718" i="20"/>
  <c r="AP719" i="20"/>
  <c r="AJ1001" i="3"/>
  <c r="AB1000" i="3"/>
  <c r="DU810" i="3"/>
  <c r="U386" i="20" s="1"/>
  <c r="P430" i="3"/>
  <c r="I6" i="7"/>
  <c r="G7" i="7"/>
  <c r="G27" i="21"/>
  <c r="F26" i="21"/>
  <c r="AJ1016" i="3" l="1"/>
  <c r="AJ1038" i="3"/>
  <c r="AJ1045" i="3"/>
  <c r="I15" i="21" s="1"/>
  <c r="AD11" i="15"/>
  <c r="AD23" i="15" s="1"/>
  <c r="AD26" i="15" s="1"/>
  <c r="AI11" i="15"/>
  <c r="AI23" i="15" s="1"/>
  <c r="AI26" i="15" s="1"/>
  <c r="BE72" i="3"/>
  <c r="T833" i="20"/>
  <c r="AF833" i="20" s="1"/>
  <c r="BE76" i="3" s="1"/>
  <c r="AJ1054" i="3"/>
  <c r="AJ1058" i="3"/>
  <c r="AP563" i="20"/>
  <c r="K6" i="7"/>
  <c r="I7" i="7"/>
  <c r="G26" i="21"/>
  <c r="F29" i="21"/>
  <c r="G29" i="21"/>
  <c r="AP566" i="20" l="1"/>
  <c r="AJ1062" i="3"/>
  <c r="AP565" i="20"/>
  <c r="M6" i="7"/>
  <c r="K7" i="7"/>
  <c r="G93" i="21"/>
  <c r="G31" i="21"/>
  <c r="G33" i="21" s="1"/>
  <c r="E9" i="21" s="1"/>
  <c r="G102" i="21"/>
  <c r="G104" i="21" s="1"/>
  <c r="E16" i="21" s="1"/>
  <c r="G125" i="21"/>
  <c r="G110" i="21"/>
  <c r="AP567" i="20" l="1"/>
  <c r="G94" i="21"/>
  <c r="E15" i="21" s="1"/>
  <c r="T24" i="15"/>
  <c r="AP570" i="20"/>
  <c r="AP569" i="20" s="1"/>
  <c r="M7" i="7"/>
  <c r="O6" i="7"/>
  <c r="G115" i="21"/>
  <c r="G127" i="21"/>
  <c r="AP572" i="20" l="1"/>
  <c r="AF565" i="20" s="1"/>
  <c r="O7" i="7"/>
  <c r="Q6" i="7"/>
  <c r="Q7" i="7" l="1"/>
  <c r="S6" i="7"/>
  <c r="S7" i="7" l="1"/>
  <c r="U6" i="7"/>
  <c r="U7" i="7" l="1"/>
  <c r="W6" i="7"/>
  <c r="Y6" i="7" l="1"/>
  <c r="W7" i="7"/>
  <c r="Y7" i="7" l="1"/>
  <c r="AA6" i="7"/>
  <c r="AC6" i="7" l="1"/>
  <c r="AA7" i="7"/>
  <c r="AE6" i="7" l="1"/>
  <c r="AC7" i="7"/>
  <c r="AE7" i="7" l="1"/>
  <c r="AG6" i="7"/>
  <c r="AG7" i="7" l="1"/>
  <c r="G24" i="7" l="1"/>
  <c r="I24" i="7" s="1"/>
  <c r="K24" i="7" s="1"/>
  <c r="M24" i="7" s="1"/>
  <c r="O24" i="7" s="1"/>
  <c r="Q24" i="7" s="1"/>
  <c r="S24" i="7" s="1"/>
  <c r="U24" i="7" s="1"/>
  <c r="W24" i="7" s="1"/>
  <c r="Y24" i="7" s="1"/>
  <c r="AA24" i="7" s="1"/>
  <c r="AC24" i="7" s="1"/>
  <c r="AE24" i="7" s="1"/>
  <c r="AG24" i="7" s="1"/>
  <c r="BH761" i="3"/>
  <c r="AC761" i="3" s="1"/>
  <c r="BE42" i="3" l="1"/>
  <c r="E92" i="20"/>
  <c r="E93" i="20" s="1"/>
  <c r="E94" i="20" s="1"/>
  <c r="E102" i="20"/>
  <c r="E105" i="20" s="1"/>
  <c r="AP105" i="20" s="1"/>
  <c r="AK108" i="20" s="1"/>
  <c r="T828" i="20" s="1"/>
  <c r="AF828" i="20" s="1"/>
  <c r="BE73" i="3" l="1"/>
  <c r="FJ731" i="3" l="1"/>
  <c r="EH648" i="3" s="1"/>
  <c r="D9" i="8"/>
  <c r="AQ116" i="20"/>
  <c r="AG459" i="3" l="1"/>
  <c r="BE24" i="3" s="1"/>
  <c r="AG453" i="3" l="1"/>
  <c r="E48" i="13" l="1"/>
  <c r="F48" i="13" s="1"/>
  <c r="W888" i="3" l="1"/>
  <c r="E21" i="7" s="1"/>
  <c r="G21" i="7" s="1"/>
  <c r="I21" i="7" s="1"/>
  <c r="K21" i="7" s="1"/>
  <c r="M21" i="7" s="1"/>
  <c r="O21" i="7" s="1"/>
  <c r="Q21" i="7" s="1"/>
  <c r="S21" i="7" s="1"/>
  <c r="U21" i="7" s="1"/>
  <c r="W21" i="7" s="1"/>
  <c r="Y21" i="7" s="1"/>
  <c r="AA21" i="7" s="1"/>
  <c r="AC21" i="7" s="1"/>
  <c r="AE21" i="7" s="1"/>
  <c r="AG21" i="7" s="1"/>
  <c r="X731" i="3" l="1"/>
  <c r="AH731" i="3" s="1"/>
  <c r="BU731" i="3" s="1"/>
  <c r="G40" i="7" l="1"/>
  <c r="I40" i="7"/>
  <c r="W855" i="3" l="1"/>
  <c r="E15" i="7" l="1"/>
  <c r="G15" i="7" l="1"/>
  <c r="I15" i="7" l="1"/>
  <c r="K15" i="7" l="1"/>
  <c r="M15" i="7" l="1"/>
  <c r="O15" i="7" l="1"/>
  <c r="Q15" i="7" l="1"/>
  <c r="S15" i="7" l="1"/>
  <c r="U15" i="7" l="1"/>
  <c r="W15" i="7" l="1"/>
  <c r="Y15" i="7" l="1"/>
  <c r="AA15" i="7" l="1"/>
  <c r="AC15" i="7" l="1"/>
  <c r="D10" i="8"/>
  <c r="X732" i="3"/>
  <c r="AH732" i="3" s="1"/>
  <c r="BU732" i="3" s="1"/>
  <c r="AQ117" i="20"/>
  <c r="FO732" i="3"/>
  <c r="X733" i="3"/>
  <c r="AH733" i="3" s="1"/>
  <c r="BU733" i="3" s="1"/>
  <c r="D11" i="8"/>
  <c r="FO733" i="3"/>
  <c r="EM650" i="3" s="1"/>
  <c r="AQ118" i="20"/>
  <c r="AE15" i="7" l="1"/>
  <c r="FO761" i="3"/>
  <c r="EM649" i="3"/>
  <c r="EM678" i="3" s="1"/>
  <c r="T129" i="20" s="1"/>
  <c r="T132" i="20" s="1"/>
  <c r="T135" i="20" s="1"/>
  <c r="AG15" i="7" l="1"/>
  <c r="H108" i="4" l="1"/>
  <c r="H30" i="4" s="1"/>
  <c r="H38" i="4" s="1"/>
  <c r="H63" i="4" s="1"/>
  <c r="H97" i="4" s="1"/>
  <c r="H105" i="4" s="1"/>
  <c r="FE728" i="3" l="1"/>
  <c r="EC645" i="3" s="1"/>
  <c r="D6" i="8"/>
  <c r="AQ113" i="20"/>
  <c r="X728" i="3"/>
  <c r="AH728" i="3" s="1"/>
  <c r="BU728" i="3" s="1"/>
  <c r="D8" i="8"/>
  <c r="FJ730" i="3"/>
  <c r="EH647" i="3" s="1"/>
  <c r="X730" i="3"/>
  <c r="AH730" i="3" s="1"/>
  <c r="BU730" i="3" s="1"/>
  <c r="AQ115" i="20"/>
  <c r="FJ729" i="3"/>
  <c r="D7" i="8"/>
  <c r="I7" i="8" s="1"/>
  <c r="X729" i="3"/>
  <c r="AH729" i="3" s="1"/>
  <c r="BU729" i="3" s="1"/>
  <c r="AQ114" i="20"/>
  <c r="FJ761" i="3" l="1"/>
  <c r="EH646" i="3"/>
  <c r="EH678" i="3" s="1"/>
  <c r="O129" i="20" s="1"/>
  <c r="O132" i="20" s="1"/>
  <c r="O135" i="20" s="1"/>
  <c r="B6" i="11"/>
  <c r="B9" i="11" s="1"/>
  <c r="C6" i="11"/>
  <c r="E5" i="4"/>
  <c r="B5" i="4"/>
  <c r="C8" i="4"/>
  <c r="B5" i="13"/>
  <c r="C5" i="13" s="1"/>
  <c r="C8" i="13" s="1"/>
  <c r="B10" i="4"/>
  <c r="C11" i="11"/>
  <c r="C11" i="4"/>
  <c r="B11" i="11"/>
  <c r="B12" i="11" s="1"/>
  <c r="B10" i="13"/>
  <c r="C10" i="13" s="1"/>
  <c r="C11" i="13" s="1"/>
  <c r="E10" i="4"/>
  <c r="B69" i="13"/>
  <c r="C69" i="13" s="1"/>
  <c r="B69" i="4"/>
  <c r="E69" i="4" s="1"/>
  <c r="R69" i="4" s="1"/>
  <c r="B70" i="11"/>
  <c r="C70" i="11"/>
  <c r="D70" i="11" s="1"/>
  <c r="B65" i="13"/>
  <c r="C65" i="13" s="1"/>
  <c r="C66" i="11"/>
  <c r="B65" i="4"/>
  <c r="E65" i="4" s="1"/>
  <c r="B66" i="11"/>
  <c r="B89" i="11"/>
  <c r="C89" i="11"/>
  <c r="D89" i="11" s="1"/>
  <c r="B88" i="4"/>
  <c r="E88" i="4" s="1"/>
  <c r="R88" i="4" s="1"/>
  <c r="B88" i="13"/>
  <c r="C88" i="13" s="1"/>
  <c r="B58" i="13"/>
  <c r="C58" i="13" s="1"/>
  <c r="C59" i="11"/>
  <c r="B58" i="4"/>
  <c r="E58" i="4" s="1"/>
  <c r="R58" i="4" s="1"/>
  <c r="B59" i="11"/>
  <c r="C52" i="11"/>
  <c r="B52" i="11"/>
  <c r="B51" i="13"/>
  <c r="C51" i="13" s="1"/>
  <c r="B51" i="4"/>
  <c r="E51" i="4" s="1"/>
  <c r="R51" i="4" s="1"/>
  <c r="B50" i="4"/>
  <c r="E50" i="4" s="1"/>
  <c r="R50" i="4" s="1"/>
  <c r="C51" i="11"/>
  <c r="B50" i="13"/>
  <c r="C50" i="13" s="1"/>
  <c r="B51" i="11"/>
  <c r="B48" i="11"/>
  <c r="B47" i="4"/>
  <c r="E47" i="4" s="1"/>
  <c r="R47" i="4" s="1"/>
  <c r="B47" i="13"/>
  <c r="C47" i="13" s="1"/>
  <c r="C48" i="11"/>
  <c r="D48" i="11" s="1"/>
  <c r="D4" i="8"/>
  <c r="X726" i="3"/>
  <c r="AH726" i="3" s="1"/>
  <c r="BU726" i="3" s="1"/>
  <c r="O761" i="3"/>
  <c r="AQ111" i="20"/>
  <c r="FE726" i="3"/>
  <c r="AQ112" i="20"/>
  <c r="X727" i="3"/>
  <c r="AH727" i="3" s="1"/>
  <c r="BU727" i="3" s="1"/>
  <c r="D5" i="8"/>
  <c r="FE727" i="3"/>
  <c r="EC644" i="3" s="1"/>
  <c r="E69" i="13"/>
  <c r="F69" i="13" s="1"/>
  <c r="E50" i="13"/>
  <c r="F50" i="13" s="1"/>
  <c r="D6" i="11" l="1"/>
  <c r="C9" i="11"/>
  <c r="E8" i="4"/>
  <c r="R5" i="4"/>
  <c r="R8" i="4" s="1"/>
  <c r="B8" i="13"/>
  <c r="C12" i="4"/>
  <c r="B12" i="13" s="1"/>
  <c r="B8" i="4"/>
  <c r="C12" i="11"/>
  <c r="D12" i="11" s="1"/>
  <c r="D11" i="11"/>
  <c r="B11" i="13"/>
  <c r="B11" i="4"/>
  <c r="E11" i="4"/>
  <c r="R10" i="4"/>
  <c r="R11" i="4" s="1"/>
  <c r="R65" i="4"/>
  <c r="Y808" i="3"/>
  <c r="D40" i="8"/>
  <c r="Y809" i="3"/>
  <c r="E4" i="7" s="1"/>
  <c r="FE761" i="3"/>
  <c r="EC643" i="3"/>
  <c r="EC678" i="3" s="1"/>
  <c r="J129" i="20" s="1"/>
  <c r="J132" i="20" s="1"/>
  <c r="J135" i="20" s="1"/>
  <c r="E137" i="20" s="1"/>
  <c r="E138" i="20" s="1"/>
  <c r="AK142" i="20" s="1"/>
  <c r="T829" i="20" s="1"/>
  <c r="AF829" i="20" s="1"/>
  <c r="B13" i="11"/>
  <c r="C12" i="13"/>
  <c r="D66" i="11"/>
  <c r="D59" i="11"/>
  <c r="D52" i="11"/>
  <c r="D51" i="11"/>
  <c r="BU761" i="3"/>
  <c r="AH761" i="3" s="1"/>
  <c r="BE43" i="3" s="1"/>
  <c r="E65" i="13"/>
  <c r="F65" i="13" s="1"/>
  <c r="E10" i="13"/>
  <c r="F10" i="13" s="1"/>
  <c r="B95" i="11"/>
  <c r="B94" i="13"/>
  <c r="C94" i="13" s="1"/>
  <c r="B94" i="4"/>
  <c r="E94" i="4" s="1"/>
  <c r="R94" i="4" s="1"/>
  <c r="C95" i="11"/>
  <c r="E51" i="13"/>
  <c r="F51" i="13" s="1"/>
  <c r="E47" i="13"/>
  <c r="F47" i="13" s="1"/>
  <c r="W870" i="3"/>
  <c r="E18" i="7" s="1"/>
  <c r="G18" i="7" s="1"/>
  <c r="I18" i="7" s="1"/>
  <c r="K18" i="7" s="1"/>
  <c r="M18" i="7" s="1"/>
  <c r="O18" i="7" s="1"/>
  <c r="Q18" i="7" s="1"/>
  <c r="S18" i="7" s="1"/>
  <c r="U18" i="7" s="1"/>
  <c r="W18" i="7" s="1"/>
  <c r="Y18" i="7" s="1"/>
  <c r="AA18" i="7" s="1"/>
  <c r="AC18" i="7" s="1"/>
  <c r="AE18" i="7" s="1"/>
  <c r="AG18" i="7" s="1"/>
  <c r="D95" i="11" l="1"/>
  <c r="C13" i="11"/>
  <c r="D13" i="11" s="1"/>
  <c r="D9" i="11"/>
  <c r="B12" i="4"/>
  <c r="N184" i="24"/>
  <c r="G4" i="7"/>
  <c r="E5" i="7"/>
  <c r="BE74" i="3"/>
  <c r="E12" i="4"/>
  <c r="R12" i="4"/>
  <c r="B92" i="11"/>
  <c r="C92" i="11"/>
  <c r="D92" i="11" s="1"/>
  <c r="B91" i="4"/>
  <c r="E91" i="4" s="1"/>
  <c r="R91" i="4" s="1"/>
  <c r="B91" i="13"/>
  <c r="C91" i="13" s="1"/>
  <c r="B36" i="13"/>
  <c r="C36" i="13" s="1"/>
  <c r="B36" i="4"/>
  <c r="E36" i="4" s="1"/>
  <c r="R36" i="4" s="1"/>
  <c r="B37" i="11"/>
  <c r="C37" i="11"/>
  <c r="C70" i="4"/>
  <c r="B68" i="11"/>
  <c r="B71" i="11" s="1"/>
  <c r="B67" i="4"/>
  <c r="E67" i="4" s="1"/>
  <c r="C68" i="11"/>
  <c r="C71" i="11" s="1"/>
  <c r="D71" i="11" s="1"/>
  <c r="B67" i="13"/>
  <c r="C67" i="13" s="1"/>
  <c r="C70" i="13" s="1"/>
  <c r="C90" i="11"/>
  <c r="B90" i="11"/>
  <c r="B89" i="4"/>
  <c r="E89" i="4" s="1"/>
  <c r="R89" i="4" s="1"/>
  <c r="B89" i="13"/>
  <c r="C89" i="13" s="1"/>
  <c r="B40" i="4"/>
  <c r="E40" i="4" s="1"/>
  <c r="C41" i="11"/>
  <c r="B41" i="11"/>
  <c r="B40" i="13"/>
  <c r="C40" i="13" s="1"/>
  <c r="C42" i="4"/>
  <c r="B84" i="4"/>
  <c r="E84" i="4" s="1"/>
  <c r="R84" i="4" s="1"/>
  <c r="B84" i="13"/>
  <c r="C84" i="13" s="1"/>
  <c r="C85" i="11"/>
  <c r="B85" i="11"/>
  <c r="B42" i="11"/>
  <c r="C42" i="11"/>
  <c r="D42" i="11" s="1"/>
  <c r="B41" i="13"/>
  <c r="C41" i="13" s="1"/>
  <c r="B41" i="4"/>
  <c r="E41" i="4" s="1"/>
  <c r="R41" i="4" s="1"/>
  <c r="B43" i="13"/>
  <c r="C43" i="13" s="1"/>
  <c r="B43" i="4"/>
  <c r="E43" i="4" s="1"/>
  <c r="R43" i="4" s="1"/>
  <c r="B44" i="11"/>
  <c r="C44" i="11"/>
  <c r="D44" i="11" s="1"/>
  <c r="B91" i="11"/>
  <c r="B90" i="4"/>
  <c r="E90" i="4" s="1"/>
  <c r="R90" i="4" s="1"/>
  <c r="C91" i="11"/>
  <c r="B90" i="13"/>
  <c r="C90" i="13" s="1"/>
  <c r="B93" i="13"/>
  <c r="C93" i="13" s="1"/>
  <c r="B93" i="4"/>
  <c r="E93" i="4" s="1"/>
  <c r="R93" i="4" s="1"/>
  <c r="B94" i="11"/>
  <c r="C94" i="11"/>
  <c r="B46" i="13"/>
  <c r="C46" i="13" s="1"/>
  <c r="C47" i="11"/>
  <c r="B47" i="11"/>
  <c r="B46" i="4"/>
  <c r="E46" i="4" s="1"/>
  <c r="R46" i="4" s="1"/>
  <c r="D94" i="11" l="1"/>
  <c r="G5" i="7"/>
  <c r="I4" i="7"/>
  <c r="B70" i="4"/>
  <c r="B70" i="13"/>
  <c r="E70" i="4"/>
  <c r="R67" i="4"/>
  <c r="R70" i="4" s="1"/>
  <c r="E42" i="4"/>
  <c r="R40" i="4"/>
  <c r="R42" i="4" s="1"/>
  <c r="C43" i="11"/>
  <c r="D41" i="11"/>
  <c r="B42" i="13"/>
  <c r="B42" i="4"/>
  <c r="D90" i="11"/>
  <c r="B43" i="11"/>
  <c r="C42" i="13"/>
  <c r="D85" i="11"/>
  <c r="D91" i="11"/>
  <c r="D47" i="11"/>
  <c r="B49" i="11"/>
  <c r="B48" i="4"/>
  <c r="E48" i="4" s="1"/>
  <c r="R48" i="4" s="1"/>
  <c r="B48" i="13"/>
  <c r="C48" i="13" s="1"/>
  <c r="C49" i="11"/>
  <c r="D49" i="11" s="1"/>
  <c r="E91" i="13"/>
  <c r="F91" i="13" s="1"/>
  <c r="E36" i="13"/>
  <c r="F36" i="13" s="1"/>
  <c r="E89" i="13"/>
  <c r="F89" i="13" s="1"/>
  <c r="E41" i="13"/>
  <c r="F41" i="13" s="1"/>
  <c r="E43" i="13"/>
  <c r="F43" i="13" s="1"/>
  <c r="E90" i="13"/>
  <c r="F90" i="13" s="1"/>
  <c r="E46" i="13"/>
  <c r="F46" i="13" s="1"/>
  <c r="K4" i="7" l="1"/>
  <c r="I5" i="7"/>
  <c r="D43" i="11"/>
  <c r="S70" i="4"/>
  <c r="E70" i="13" s="1"/>
  <c r="E67" i="13"/>
  <c r="F67" i="13" s="1"/>
  <c r="F70" i="13" s="1"/>
  <c r="E84" i="13"/>
  <c r="F84" i="13" s="1"/>
  <c r="S42" i="4"/>
  <c r="E42" i="13" s="1"/>
  <c r="E40" i="13"/>
  <c r="F40" i="13" s="1"/>
  <c r="F42" i="13" s="1"/>
  <c r="K5" i="7" l="1"/>
  <c r="M4" i="7"/>
  <c r="B80" i="4"/>
  <c r="E80" i="4" s="1"/>
  <c r="R80" i="4" s="1"/>
  <c r="B81" i="11"/>
  <c r="B80" i="13"/>
  <c r="C80" i="13" s="1"/>
  <c r="C81" i="11"/>
  <c r="D81" i="11" s="1"/>
  <c r="M5" i="7" l="1"/>
  <c r="O4" i="7"/>
  <c r="E80" i="13"/>
  <c r="F80" i="13" s="1"/>
  <c r="Q4" i="7" l="1"/>
  <c r="O5" i="7"/>
  <c r="S4" i="7" l="1"/>
  <c r="Q5" i="7"/>
  <c r="U4" i="7" l="1"/>
  <c r="S5" i="7"/>
  <c r="W4" i="7" l="1"/>
  <c r="U5" i="7"/>
  <c r="Y4" i="7" l="1"/>
  <c r="W5" i="7"/>
  <c r="Y5" i="7" l="1"/>
  <c r="AA4" i="7"/>
  <c r="AA5" i="7" l="1"/>
  <c r="AC4" i="7"/>
  <c r="AE4" i="7" l="1"/>
  <c r="AC5" i="7"/>
  <c r="AG4" i="7" l="1"/>
  <c r="AG5" i="7" s="1"/>
  <c r="AE5" i="7"/>
  <c r="B84" i="11" l="1"/>
  <c r="B83" i="13"/>
  <c r="C83" i="13" s="1"/>
  <c r="C84" i="11"/>
  <c r="B83" i="4"/>
  <c r="E83" i="4" s="1"/>
  <c r="D84" i="11" l="1"/>
  <c r="R83" i="4"/>
  <c r="C14" i="11" l="1"/>
  <c r="B14" i="11"/>
  <c r="B13" i="4"/>
  <c r="B13" i="13"/>
  <c r="C13" i="13" s="1"/>
  <c r="AG402" i="3"/>
  <c r="Q402" i="3" s="1"/>
  <c r="E13" i="4"/>
  <c r="R13" i="4" s="1"/>
  <c r="D14" i="11" l="1"/>
  <c r="E13" i="13" l="1"/>
  <c r="F13" i="13" s="1"/>
  <c r="B45" i="4" l="1"/>
  <c r="E45" i="4" s="1"/>
  <c r="B46" i="11"/>
  <c r="C46" i="11"/>
  <c r="B45" i="13"/>
  <c r="C45" i="13" s="1"/>
  <c r="R45" i="4" l="1"/>
  <c r="D46" i="11"/>
  <c r="E45" i="13" l="1"/>
  <c r="F45" i="13" s="1"/>
  <c r="AG449" i="3" l="1"/>
  <c r="BA1048" i="3" l="1"/>
  <c r="BE40" i="3"/>
  <c r="T212" i="3"/>
  <c r="C765" i="3"/>
  <c r="AG450" i="3"/>
  <c r="AG454" i="3" s="1"/>
  <c r="BA1047" i="3"/>
  <c r="BA1057" i="3" s="1" a="1"/>
  <c r="BA1057" i="3" s="1"/>
  <c r="AF427" i="3"/>
  <c r="AP595" i="20" s="1"/>
  <c r="BE39" i="3"/>
  <c r="E19" i="7"/>
  <c r="G19" i="7" s="1"/>
  <c r="I19" i="7" s="1"/>
  <c r="K19" i="7" s="1"/>
  <c r="M19" i="7" s="1"/>
  <c r="O19" i="7" s="1"/>
  <c r="Q19" i="7" s="1"/>
  <c r="S19" i="7" s="1"/>
  <c r="U19" i="7" s="1"/>
  <c r="W19" i="7" s="1"/>
  <c r="Y19" i="7" s="1"/>
  <c r="AA19" i="7" s="1"/>
  <c r="AC19" i="7" s="1"/>
  <c r="AE19" i="7" s="1"/>
  <c r="AG19" i="7" s="1"/>
  <c r="E32" i="7"/>
  <c r="G32" i="7" s="1"/>
  <c r="I32" i="7" s="1"/>
  <c r="K32" i="7" s="1"/>
  <c r="M32" i="7" s="1"/>
  <c r="O32" i="7" s="1"/>
  <c r="Q32" i="7" s="1"/>
  <c r="S32" i="7" s="1"/>
  <c r="U32" i="7" s="1"/>
  <c r="W32" i="7" s="1"/>
  <c r="Y32" i="7" s="1"/>
  <c r="AA32" i="7" s="1"/>
  <c r="AC32" i="7" s="1"/>
  <c r="AE32" i="7" s="1"/>
  <c r="AG32" i="7" s="1"/>
  <c r="E28" i="7"/>
  <c r="AD68" i="15" l="1"/>
  <c r="BA1051" i="3"/>
  <c r="BD1060" i="3" s="1" a="1"/>
  <c r="BD1060" i="3" s="1"/>
  <c r="AF1023" i="3"/>
  <c r="AI27" i="15"/>
  <c r="AI28" i="15" s="1"/>
  <c r="Y27" i="15"/>
  <c r="AD27" i="15"/>
  <c r="AD28" i="15" s="1"/>
  <c r="T27" i="15"/>
  <c r="AP600" i="20"/>
  <c r="Y620" i="20"/>
  <c r="AG28" i="7"/>
  <c r="O28" i="7"/>
  <c r="Y28" i="7"/>
  <c r="AE28" i="7"/>
  <c r="K28" i="7"/>
  <c r="AA28" i="7"/>
  <c r="W28" i="7"/>
  <c r="M28" i="7"/>
  <c r="S28" i="7"/>
  <c r="Q28" i="7"/>
  <c r="U28" i="7"/>
  <c r="AC28" i="7"/>
  <c r="I28" i="7"/>
  <c r="G28" i="7"/>
  <c r="E27" i="7"/>
  <c r="G27" i="7" s="1"/>
  <c r="I27" i="7" s="1"/>
  <c r="K27" i="7" s="1"/>
  <c r="M27" i="7" s="1"/>
  <c r="O27" i="7" s="1"/>
  <c r="Q27" i="7" s="1"/>
  <c r="S27" i="7" s="1"/>
  <c r="U27" i="7" s="1"/>
  <c r="W27" i="7" s="1"/>
  <c r="Y27" i="7" s="1"/>
  <c r="AA27" i="7" s="1"/>
  <c r="AC27" i="7" s="1"/>
  <c r="AE27" i="7" s="1"/>
  <c r="AG27" i="7" s="1"/>
  <c r="W863" i="3"/>
  <c r="G108" i="21" l="1"/>
  <c r="G111" i="21" s="1"/>
  <c r="G129" i="21" s="1"/>
  <c r="E17" i="21" s="1"/>
  <c r="E14" i="21" s="1"/>
  <c r="E18" i="21" s="1"/>
  <c r="H3" i="21" s="1"/>
  <c r="AJ634" i="20"/>
  <c r="AK816" i="20" s="1"/>
  <c r="T841" i="20" s="1"/>
  <c r="AF841" i="20" s="1"/>
  <c r="BE82" i="3" s="1"/>
  <c r="E17" i="7"/>
  <c r="G17" i="7" s="1"/>
  <c r="I17" i="7" s="1"/>
  <c r="K17" i="7" s="1"/>
  <c r="M17" i="7" s="1"/>
  <c r="O17" i="7" s="1"/>
  <c r="Q17" i="7" s="1"/>
  <c r="S17" i="7" s="1"/>
  <c r="U17" i="7" s="1"/>
  <c r="W17" i="7" s="1"/>
  <c r="Y17" i="7" s="1"/>
  <c r="AA17" i="7" s="1"/>
  <c r="AC17" i="7" s="1"/>
  <c r="AE17" i="7" s="1"/>
  <c r="AG17" i="7" s="1"/>
  <c r="W881" i="3"/>
  <c r="Z825" i="3"/>
  <c r="E20" i="7" l="1"/>
  <c r="G20" i="7" s="1"/>
  <c r="I20" i="7" s="1"/>
  <c r="K20" i="7" s="1"/>
  <c r="M20" i="7" s="1"/>
  <c r="O20" i="7" s="1"/>
  <c r="Q20" i="7" s="1"/>
  <c r="S20" i="7" s="1"/>
  <c r="U20" i="7" s="1"/>
  <c r="W20" i="7" s="1"/>
  <c r="Y20" i="7" s="1"/>
  <c r="AA20" i="7" s="1"/>
  <c r="AC20" i="7" s="1"/>
  <c r="AE20" i="7" s="1"/>
  <c r="AG20" i="7" s="1"/>
  <c r="Z826" i="3"/>
  <c r="E8" i="7"/>
  <c r="E9" i="7" l="1"/>
  <c r="E11" i="7" s="1"/>
  <c r="G8" i="7"/>
  <c r="C96" i="11"/>
  <c r="B95" i="4"/>
  <c r="E95" i="4" s="1"/>
  <c r="R95" i="4" s="1"/>
  <c r="B95" i="13"/>
  <c r="C95" i="13" s="1"/>
  <c r="B96" i="11"/>
  <c r="G9" i="7" l="1"/>
  <c r="G11" i="7" s="1"/>
  <c r="I8" i="7"/>
  <c r="D96" i="11"/>
  <c r="E95" i="13"/>
  <c r="F95" i="13" s="1"/>
  <c r="I9" i="7" l="1"/>
  <c r="I11" i="7" s="1"/>
  <c r="K8" i="7"/>
  <c r="C31" i="11"/>
  <c r="B30" i="13"/>
  <c r="C30" i="13" s="1"/>
  <c r="B31" i="11"/>
  <c r="B30" i="4"/>
  <c r="B31" i="4"/>
  <c r="E31" i="4" s="1"/>
  <c r="R31" i="4" s="1"/>
  <c r="C32" i="11"/>
  <c r="B32" i="11"/>
  <c r="B31" i="13"/>
  <c r="C31" i="13" s="1"/>
  <c r="E31" i="13"/>
  <c r="F31" i="13" s="1"/>
  <c r="K9" i="7" l="1"/>
  <c r="K11" i="7" s="1"/>
  <c r="M8" i="7"/>
  <c r="D31" i="11"/>
  <c r="D32" i="11"/>
  <c r="E30" i="13"/>
  <c r="F30" i="13" s="1"/>
  <c r="E35" i="13"/>
  <c r="F35" i="13" s="1"/>
  <c r="O8" i="7" l="1"/>
  <c r="M9" i="7"/>
  <c r="M11" i="7" s="1"/>
  <c r="B87" i="11"/>
  <c r="C87" i="11"/>
  <c r="D87" i="11" s="1"/>
  <c r="B86" i="4"/>
  <c r="E86" i="4" s="1"/>
  <c r="R86" i="4" s="1"/>
  <c r="B86" i="13"/>
  <c r="C86" i="13" s="1"/>
  <c r="B33" i="4"/>
  <c r="E33" i="4" s="1"/>
  <c r="R33" i="4" s="1"/>
  <c r="B34" i="11"/>
  <c r="C34" i="11"/>
  <c r="B33" i="13"/>
  <c r="C33" i="13" s="1"/>
  <c r="C36" i="11"/>
  <c r="B35" i="4"/>
  <c r="E35" i="4" s="1"/>
  <c r="R35" i="4" s="1"/>
  <c r="B36" i="11"/>
  <c r="B35" i="13"/>
  <c r="C35" i="13" s="1"/>
  <c r="AC892" i="3"/>
  <c r="AC894" i="3" s="1"/>
  <c r="E16" i="7"/>
  <c r="E86" i="13"/>
  <c r="F86" i="13" s="1"/>
  <c r="D36" i="11" l="1"/>
  <c r="Q8" i="7"/>
  <c r="O9" i="7"/>
  <c r="O11" i="7" s="1"/>
  <c r="D34" i="11"/>
  <c r="E22" i="7"/>
  <c r="E35" i="7" s="1"/>
  <c r="E37" i="7" s="1"/>
  <c r="G16" i="7"/>
  <c r="E33" i="13"/>
  <c r="F33" i="13" s="1"/>
  <c r="S8" i="7" l="1"/>
  <c r="Q9" i="7"/>
  <c r="Q11" i="7" s="1"/>
  <c r="G22" i="7"/>
  <c r="G35" i="7" s="1"/>
  <c r="G37" i="7" s="1"/>
  <c r="I16" i="7"/>
  <c r="C38" i="4"/>
  <c r="B38" i="11"/>
  <c r="B39" i="11" s="1"/>
  <c r="B37" i="13"/>
  <c r="C37" i="13" s="1"/>
  <c r="C38" i="13" s="1"/>
  <c r="C38" i="11"/>
  <c r="B37" i="4"/>
  <c r="E37" i="4" s="1"/>
  <c r="R37" i="4" s="1"/>
  <c r="U8" i="7" l="1"/>
  <c r="S9" i="7"/>
  <c r="S11" i="7" s="1"/>
  <c r="I22" i="7"/>
  <c r="I35" i="7" s="1"/>
  <c r="I37" i="7" s="1"/>
  <c r="K16" i="7"/>
  <c r="B38" i="13"/>
  <c r="B38" i="4"/>
  <c r="C39" i="11"/>
  <c r="D38" i="11"/>
  <c r="C96" i="4"/>
  <c r="B85" i="13"/>
  <c r="C85" i="13" s="1"/>
  <c r="C96" i="13" s="1"/>
  <c r="C86" i="11"/>
  <c r="B86" i="11"/>
  <c r="B97" i="11" s="1"/>
  <c r="B85" i="4"/>
  <c r="S38" i="4"/>
  <c r="E37" i="13"/>
  <c r="F37" i="13" s="1"/>
  <c r="F38" i="13" s="1"/>
  <c r="W8" i="7" l="1"/>
  <c r="U9" i="7"/>
  <c r="U11" i="7" s="1"/>
  <c r="K22" i="7"/>
  <c r="K35" i="7" s="1"/>
  <c r="K37" i="7" s="1"/>
  <c r="M16" i="7"/>
  <c r="D39" i="11"/>
  <c r="B96" i="13"/>
  <c r="B96" i="4"/>
  <c r="C97" i="11"/>
  <c r="D97" i="11" s="1"/>
  <c r="D86" i="11"/>
  <c r="E85" i="4"/>
  <c r="N183" i="24"/>
  <c r="N190" i="24" s="1"/>
  <c r="E38" i="13"/>
  <c r="C53" i="11"/>
  <c r="B52" i="4"/>
  <c r="E52" i="4" s="1"/>
  <c r="B52" i="13"/>
  <c r="C52" i="13" s="1"/>
  <c r="B53" i="11"/>
  <c r="S96" i="4"/>
  <c r="E96" i="13" s="1"/>
  <c r="E85" i="13"/>
  <c r="F85" i="13" s="1"/>
  <c r="F96" i="13" s="1"/>
  <c r="W9" i="7" l="1"/>
  <c r="W11" i="7" s="1"/>
  <c r="Y8" i="7"/>
  <c r="M22" i="7"/>
  <c r="M35" i="7" s="1"/>
  <c r="M37" i="7" s="1"/>
  <c r="O16" i="7"/>
  <c r="E96" i="4"/>
  <c r="R85" i="4"/>
  <c r="R96" i="4" s="1"/>
  <c r="D53" i="11"/>
  <c r="R52" i="4"/>
  <c r="C81" i="4"/>
  <c r="B79" i="13"/>
  <c r="C79" i="13" s="1"/>
  <c r="C81" i="13" s="1"/>
  <c r="B79" i="4"/>
  <c r="E79" i="4" s="1"/>
  <c r="B80" i="11"/>
  <c r="B82" i="11" s="1"/>
  <c r="C80" i="11"/>
  <c r="AA8" i="7" l="1"/>
  <c r="Y9" i="7"/>
  <c r="Y11" i="7" s="1"/>
  <c r="O22" i="7"/>
  <c r="O35" i="7" s="1"/>
  <c r="O37" i="7" s="1"/>
  <c r="Q16" i="7"/>
  <c r="B81" i="13"/>
  <c r="B81" i="4"/>
  <c r="E81" i="4"/>
  <c r="R79" i="4"/>
  <c r="R81" i="4" s="1"/>
  <c r="C82" i="11"/>
  <c r="D82" i="11" s="1"/>
  <c r="D80" i="11"/>
  <c r="E52" i="13"/>
  <c r="F52" i="13" s="1"/>
  <c r="E79" i="13"/>
  <c r="F79" i="13" s="1"/>
  <c r="F81" i="13" s="1"/>
  <c r="S81" i="4"/>
  <c r="E81" i="13" s="1"/>
  <c r="AC8" i="7" l="1"/>
  <c r="AA9" i="7"/>
  <c r="AA11" i="7" s="1"/>
  <c r="Q22" i="7"/>
  <c r="Q35" i="7" s="1"/>
  <c r="Q37" i="7" s="1"/>
  <c r="S16" i="7"/>
  <c r="AC9" i="7" l="1"/>
  <c r="AC11" i="7" s="1"/>
  <c r="AE8" i="7"/>
  <c r="S22" i="7"/>
  <c r="S35" i="7" s="1"/>
  <c r="S37" i="7" s="1"/>
  <c r="U16" i="7"/>
  <c r="AE9" i="7" l="1"/>
  <c r="AE11" i="7" s="1"/>
  <c r="AG8" i="7"/>
  <c r="AG9" i="7" s="1"/>
  <c r="AG11" i="7" s="1"/>
  <c r="U22" i="7"/>
  <c r="U35" i="7" s="1"/>
  <c r="U37" i="7" s="1"/>
  <c r="W16" i="7"/>
  <c r="W22" i="7" l="1"/>
  <c r="W35" i="7" s="1"/>
  <c r="W37" i="7" s="1"/>
  <c r="Y16" i="7"/>
  <c r="Y22" i="7" l="1"/>
  <c r="Y35" i="7" s="1"/>
  <c r="Y37" i="7" s="1"/>
  <c r="AA16" i="7"/>
  <c r="AA22" i="7" l="1"/>
  <c r="AA35" i="7" s="1"/>
  <c r="AA37" i="7" s="1"/>
  <c r="AC16" i="7"/>
  <c r="AC22" i="7" l="1"/>
  <c r="AC35" i="7" s="1"/>
  <c r="AC37" i="7" s="1"/>
  <c r="AE16" i="7"/>
  <c r="AE22" i="7" l="1"/>
  <c r="AE35" i="7" s="1"/>
  <c r="AE37" i="7" s="1"/>
  <c r="AG16" i="7"/>
  <c r="AG22" i="7" s="1"/>
  <c r="AG35" i="7" s="1"/>
  <c r="AG37" i="7" s="1"/>
  <c r="AG40" i="7" l="1"/>
  <c r="Q40" i="7"/>
  <c r="M40" i="7"/>
  <c r="AC40" i="7"/>
  <c r="Y40" i="7"/>
  <c r="U40" i="7"/>
  <c r="S40" i="7"/>
  <c r="O40" i="7"/>
  <c r="K40" i="7"/>
  <c r="AE40" i="7"/>
  <c r="W40" i="7"/>
  <c r="AA40" i="7"/>
  <c r="K41" i="7" l="1"/>
  <c r="K43" i="7" l="1"/>
  <c r="Q41" i="7"/>
  <c r="Q43" i="7" s="1"/>
  <c r="AA41" i="7"/>
  <c r="AA43" i="7" s="1"/>
  <c r="AE41" i="7"/>
  <c r="AE43" i="7" s="1"/>
  <c r="O41" i="7"/>
  <c r="O43" i="7" s="1"/>
  <c r="S41" i="7"/>
  <c r="S43" i="7" s="1"/>
  <c r="Y41" i="7"/>
  <c r="Y43" i="7" s="1"/>
  <c r="AG41" i="7"/>
  <c r="AG43" i="7" s="1"/>
  <c r="M41" i="7"/>
  <c r="M43" i="7" s="1"/>
  <c r="W41" i="7"/>
  <c r="W43" i="7" s="1"/>
  <c r="AC41" i="7"/>
  <c r="AC43" i="7" s="1"/>
  <c r="U41" i="7"/>
  <c r="U43" i="7" s="1"/>
  <c r="E43" i="7"/>
  <c r="I41" i="7"/>
  <c r="I43" i="7" s="1"/>
  <c r="G41" i="7"/>
  <c r="G43" i="7" s="1"/>
  <c r="K45" i="7" l="1"/>
  <c r="K49" i="7"/>
  <c r="Q45" i="7"/>
  <c r="Q49" i="7"/>
  <c r="AA49" i="7"/>
  <c r="AA45" i="7"/>
  <c r="AE45" i="7"/>
  <c r="AE49" i="7"/>
  <c r="O45" i="7"/>
  <c r="O49" i="7"/>
  <c r="S45" i="7"/>
  <c r="S49" i="7"/>
  <c r="Y45" i="7"/>
  <c r="Y49" i="7"/>
  <c r="AG45" i="7"/>
  <c r="AG49" i="7"/>
  <c r="M49" i="7"/>
  <c r="M45" i="7"/>
  <c r="W49" i="7"/>
  <c r="W45" i="7"/>
  <c r="AC49" i="7"/>
  <c r="AC45" i="7"/>
  <c r="U45" i="7"/>
  <c r="U49" i="7"/>
  <c r="E45" i="7"/>
  <c r="E49" i="7"/>
  <c r="I49" i="7"/>
  <c r="I45" i="7"/>
  <c r="G49" i="7"/>
  <c r="G45" i="7"/>
  <c r="K48" i="7" l="1"/>
  <c r="K60" i="7"/>
  <c r="K47" i="7"/>
  <c r="Q60" i="7"/>
  <c r="Q48" i="7"/>
  <c r="Q47" i="7"/>
  <c r="AA60" i="7"/>
  <c r="AA47" i="7"/>
  <c r="AA48" i="7"/>
  <c r="AE60" i="7"/>
  <c r="AE48" i="7"/>
  <c r="AE47" i="7"/>
  <c r="O47" i="7"/>
  <c r="O48" i="7"/>
  <c r="O60" i="7"/>
  <c r="S60" i="7"/>
  <c r="S48" i="7"/>
  <c r="S47" i="7"/>
  <c r="Y60" i="7"/>
  <c r="Y47" i="7"/>
  <c r="Y48" i="7"/>
  <c r="AG60" i="7"/>
  <c r="AG48" i="7"/>
  <c r="AG47" i="7"/>
  <c r="M60" i="7"/>
  <c r="M47" i="7"/>
  <c r="M48" i="7"/>
  <c r="W60" i="7"/>
  <c r="W47" i="7"/>
  <c r="W48" i="7"/>
  <c r="AC47" i="7"/>
  <c r="AC48" i="7"/>
  <c r="AC60" i="7"/>
  <c r="U60" i="7"/>
  <c r="U48" i="7"/>
  <c r="U47" i="7"/>
  <c r="E47" i="7"/>
  <c r="E48" i="7"/>
  <c r="E60" i="7"/>
  <c r="I47" i="7"/>
  <c r="I48" i="7"/>
  <c r="I60" i="7"/>
  <c r="G48" i="7"/>
  <c r="G60" i="7"/>
  <c r="G47" i="7"/>
  <c r="C77" i="4"/>
  <c r="C76" i="11"/>
  <c r="B75" i="13"/>
  <c r="C75" i="13" s="1"/>
  <c r="C77" i="13" s="1"/>
  <c r="B76" i="11"/>
  <c r="B78" i="11" s="1"/>
  <c r="B75" i="4"/>
  <c r="E75" i="4" s="1"/>
  <c r="G108" i="4"/>
  <c r="G30" i="4" s="1"/>
  <c r="K62" i="7" l="1"/>
  <c r="K68" i="7"/>
  <c r="K67" i="7"/>
  <c r="K71" i="7" s="1"/>
  <c r="K73" i="7" s="1"/>
  <c r="Q68" i="7"/>
  <c r="Q67" i="7"/>
  <c r="Q71" i="7" s="1"/>
  <c r="Q62" i="7"/>
  <c r="AA67" i="7"/>
  <c r="AA68" i="7"/>
  <c r="AA62" i="7"/>
  <c r="AE62" i="7"/>
  <c r="AE68" i="7"/>
  <c r="AE67" i="7"/>
  <c r="AE71" i="7" s="1"/>
  <c r="AE73" i="7" s="1"/>
  <c r="O68" i="7"/>
  <c r="O67" i="7"/>
  <c r="O71" i="7" s="1"/>
  <c r="O62" i="7"/>
  <c r="S62" i="7"/>
  <c r="S68" i="7"/>
  <c r="S67" i="7"/>
  <c r="S71" i="7" s="1"/>
  <c r="S73" i="7" s="1"/>
  <c r="Y62" i="7"/>
  <c r="Y68" i="7"/>
  <c r="Y67" i="7"/>
  <c r="Y71" i="7" s="1"/>
  <c r="Y73" i="7" s="1"/>
  <c r="AG67" i="7"/>
  <c r="AG62" i="7"/>
  <c r="AG68" i="7"/>
  <c r="M62" i="7"/>
  <c r="M67" i="7"/>
  <c r="M68" i="7"/>
  <c r="W67" i="7"/>
  <c r="W62" i="7"/>
  <c r="W68" i="7"/>
  <c r="AC68" i="7"/>
  <c r="AC67" i="7"/>
  <c r="AC71" i="7" s="1"/>
  <c r="AC62" i="7"/>
  <c r="U68" i="7"/>
  <c r="U62" i="7"/>
  <c r="U67" i="7"/>
  <c r="U71" i="7" s="1"/>
  <c r="U73" i="7" s="1"/>
  <c r="E68" i="7"/>
  <c r="E67" i="7"/>
  <c r="E71" i="7" s="1"/>
  <c r="E73" i="7" s="1"/>
  <c r="E62" i="7"/>
  <c r="I67" i="7"/>
  <c r="I68" i="7"/>
  <c r="I62" i="7"/>
  <c r="G67" i="7"/>
  <c r="G62" i="7"/>
  <c r="G68" i="7"/>
  <c r="B77" i="13"/>
  <c r="B77" i="4"/>
  <c r="C78" i="11"/>
  <c r="D78" i="11" s="1"/>
  <c r="D76" i="11"/>
  <c r="R75" i="4"/>
  <c r="R77" i="4" s="1"/>
  <c r="E77" i="4"/>
  <c r="E30" i="4"/>
  <c r="G38" i="4"/>
  <c r="G63" i="4" s="1"/>
  <c r="G97" i="4" s="1"/>
  <c r="G105" i="4" s="1"/>
  <c r="M71" i="7" l="1"/>
  <c r="M73" i="7" s="1"/>
  <c r="AC73" i="7"/>
  <c r="O73" i="7"/>
  <c r="E38" i="4"/>
  <c r="R30" i="4"/>
  <c r="R38" i="4" s="1"/>
  <c r="Q73" i="7"/>
  <c r="AA71" i="7"/>
  <c r="AA73" i="7" s="1"/>
  <c r="AG71" i="7"/>
  <c r="W71" i="7"/>
  <c r="W73" i="7" s="1"/>
  <c r="I71" i="7"/>
  <c r="I73" i="7" s="1"/>
  <c r="G71" i="7"/>
  <c r="G73" i="7" s="1"/>
  <c r="B58" i="11"/>
  <c r="B57" i="4"/>
  <c r="E57" i="4" s="1"/>
  <c r="R57" i="4" s="1"/>
  <c r="C58" i="11"/>
  <c r="D58" i="11" s="1"/>
  <c r="B57" i="13"/>
  <c r="C57" i="13" s="1"/>
  <c r="B56" i="4" l="1"/>
  <c r="E56" i="4" s="1"/>
  <c r="B57" i="11"/>
  <c r="C57" i="11"/>
  <c r="B56" i="13"/>
  <c r="C56" i="13" s="1"/>
  <c r="R56" i="4" l="1"/>
  <c r="D57" i="11"/>
  <c r="C54" i="4" l="1"/>
  <c r="B53" i="13"/>
  <c r="C53" i="13" s="1"/>
  <c r="C54" i="13" s="1"/>
  <c r="C54" i="11"/>
  <c r="B53" i="4"/>
  <c r="E53" i="4" s="1"/>
  <c r="B54" i="11"/>
  <c r="B55" i="11" s="1"/>
  <c r="B54" i="4" l="1"/>
  <c r="B54" i="13"/>
  <c r="C55" i="11"/>
  <c r="D54" i="11"/>
  <c r="E54" i="4"/>
  <c r="R53" i="4"/>
  <c r="R54" i="4" s="1"/>
  <c r="S54" i="4"/>
  <c r="E53" i="13"/>
  <c r="F53" i="13" s="1"/>
  <c r="F54" i="13" s="1"/>
  <c r="F63" i="13" s="1"/>
  <c r="F97" i="13" s="1"/>
  <c r="D55" i="11" l="1"/>
  <c r="E54" i="13"/>
  <c r="S63" i="4"/>
  <c r="S97" i="4" l="1"/>
  <c r="E63" i="13"/>
  <c r="E97" i="13" l="1"/>
  <c r="AZ1055" i="3"/>
  <c r="AZ1060" i="3" l="1"/>
  <c r="BA1064" i="3" s="1"/>
  <c r="BA1065" i="3"/>
  <c r="S104" i="4" l="1"/>
  <c r="E99" i="13"/>
  <c r="F99" i="13" s="1"/>
  <c r="F104" i="13" s="1"/>
  <c r="F105" i="13" s="1"/>
  <c r="F107" i="13" s="1"/>
  <c r="T11" i="15" s="1"/>
  <c r="T23" i="15" s="1"/>
  <c r="S105" i="4" l="1"/>
  <c r="BA1067" i="3"/>
  <c r="BA1068" i="3" s="1"/>
  <c r="E104" i="13"/>
  <c r="T26" i="15"/>
  <c r="T28" i="15" s="1"/>
  <c r="E105" i="13" l="1"/>
  <c r="S107" i="4"/>
  <c r="I9" i="21"/>
  <c r="B99" i="13"/>
  <c r="C99" i="13" s="1"/>
  <c r="C104" i="13" s="1"/>
  <c r="B99" i="4"/>
  <c r="C100" i="11"/>
  <c r="C104" i="4"/>
  <c r="B100" i="11"/>
  <c r="B105" i="11" s="1"/>
  <c r="AC465" i="3" l="1"/>
  <c r="E107" i="13"/>
  <c r="Y11" i="15" s="1"/>
  <c r="Y23" i="15" s="1"/>
  <c r="AA1065" i="3"/>
  <c r="AA1066" i="3" s="1"/>
  <c r="G1067" i="3" s="1"/>
  <c r="AF564" i="20"/>
  <c r="AF566" i="20" s="1"/>
  <c r="AK572" i="20" s="1"/>
  <c r="T840" i="20" s="1"/>
  <c r="AF840" i="20" s="1"/>
  <c r="G166" i="21"/>
  <c r="G165" i="21"/>
  <c r="D100" i="11"/>
  <c r="C105" i="11"/>
  <c r="D105" i="11" s="1"/>
  <c r="B104" i="4"/>
  <c r="B104" i="13"/>
  <c r="AD38" i="15" l="1"/>
  <c r="AD40" i="15" s="1"/>
  <c r="Y26" i="15"/>
  <c r="Y28" i="15" s="1"/>
  <c r="Y38" i="15" s="1"/>
  <c r="Y40" i="15" s="1"/>
  <c r="Y41" i="15" s="1"/>
  <c r="AF843" i="20"/>
  <c r="BE70" i="3" s="1"/>
  <c r="BE81" i="3"/>
  <c r="T29" i="15" l="1"/>
  <c r="Y64" i="15"/>
  <c r="Y68" i="15" s="1"/>
  <c r="Y69" i="15" s="1"/>
  <c r="E108" i="4" l="1"/>
  <c r="C62" i="4" l="1"/>
  <c r="C62" i="11"/>
  <c r="B61" i="4"/>
  <c r="E61" i="4" s="1"/>
  <c r="B61" i="13"/>
  <c r="C61" i="13" s="1"/>
  <c r="C62" i="13" s="1"/>
  <c r="C63" i="13" s="1"/>
  <c r="C97" i="13" s="1"/>
  <c r="C105" i="13" s="1"/>
  <c r="B62" i="11"/>
  <c r="B63" i="11" s="1"/>
  <c r="B64" i="11" s="1"/>
  <c r="B98" i="11" s="1"/>
  <c r="B106" i="11" s="1"/>
  <c r="C63" i="4" l="1"/>
  <c r="B62" i="13"/>
  <c r="B62" i="4"/>
  <c r="B63" i="4" s="1"/>
  <c r="C63" i="11"/>
  <c r="D62" i="11"/>
  <c r="E62" i="4"/>
  <c r="E63" i="4" s="1"/>
  <c r="E97" i="4" s="1"/>
  <c r="R61" i="4"/>
  <c r="R62" i="4" s="1"/>
  <c r="R63" i="4" s="1"/>
  <c r="R97" i="4" s="1"/>
  <c r="B63" i="13" l="1"/>
  <c r="C97" i="4"/>
  <c r="C64" i="11"/>
  <c r="D63" i="11"/>
  <c r="AM574" i="3"/>
  <c r="B97" i="13" l="1"/>
  <c r="C105" i="4"/>
  <c r="B97" i="4"/>
  <c r="C98" i="11"/>
  <c r="D64" i="11"/>
  <c r="AO647" i="3"/>
  <c r="C63" i="7"/>
  <c r="E63" i="7" s="1"/>
  <c r="G63" i="7" s="1"/>
  <c r="I63" i="7" s="1"/>
  <c r="K63" i="7" s="1"/>
  <c r="M63" i="7" s="1"/>
  <c r="O63" i="7" s="1"/>
  <c r="Q63" i="7" s="1"/>
  <c r="S63" i="7" s="1"/>
  <c r="U63" i="7" s="1"/>
  <c r="W63" i="7" s="1"/>
  <c r="Y63" i="7" s="1"/>
  <c r="AA63" i="7" s="1"/>
  <c r="AC63" i="7" s="1"/>
  <c r="AE63" i="7" s="1"/>
  <c r="AG73" i="7" s="1"/>
  <c r="I108" i="4"/>
  <c r="I99" i="4" s="1"/>
  <c r="AC464" i="3" l="1"/>
  <c r="AG268" i="20"/>
  <c r="BE101" i="3"/>
  <c r="B105" i="13"/>
  <c r="B105" i="4"/>
  <c r="C106" i="11"/>
  <c r="D106" i="11" s="1"/>
  <c r="D98" i="11"/>
  <c r="AB48" i="15"/>
  <c r="AO649" i="3"/>
  <c r="E99" i="4"/>
  <c r="I104" i="4"/>
  <c r="I105" i="4" s="1"/>
  <c r="AC463" i="3" l="1"/>
  <c r="BE44" i="3" s="1"/>
  <c r="AB265" i="20"/>
  <c r="AG267" i="20" s="1"/>
  <c r="AG269" i="20" s="1"/>
  <c r="AK272" i="20" s="1"/>
  <c r="T834" i="20" s="1"/>
  <c r="BE77" i="3" s="1"/>
  <c r="N180" i="24"/>
  <c r="AB47" i="15"/>
  <c r="AB49" i="15" s="1"/>
  <c r="AB54" i="15" s="1"/>
  <c r="AB55" i="15" s="1"/>
  <c r="AB56" i="15" s="1"/>
  <c r="BE22" i="3"/>
  <c r="R99" i="4"/>
  <c r="R104" i="4" s="1"/>
  <c r="R105" i="4" s="1"/>
  <c r="E104" i="4"/>
  <c r="E105" i="4" s="1"/>
  <c r="N181" i="24" l="1"/>
  <c r="N191" i="24"/>
  <c r="AB57" i="15"/>
  <c r="AB59" i="15" s="1"/>
  <c r="AB77" i="15" s="1"/>
  <c r="AB78" i="15" s="1"/>
  <c r="M26" i="3"/>
  <c r="AB79" i="15" l="1"/>
  <c r="AB81" i="15" s="1"/>
  <c r="J82" i="15" s="1"/>
  <c r="M27" i="3"/>
  <c r="I10" i="21"/>
  <c r="I11" i="21" s="1"/>
  <c r="I18" i="21" s="1"/>
  <c r="H4" i="21" s="1"/>
  <c r="H5" i="21" s="1"/>
  <c r="BE83" i="3" s="1"/>
  <c r="BE19" i="3"/>
  <c r="P204"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<sst xmlns="http://schemas.openxmlformats.org/spreadsheetml/2006/main" count="5081" uniqueCount="2800">
  <si>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</si>
  <si>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</si>
  <si>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</si>
  <si>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</si>
  <si>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</si>
  <si>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</si>
  <si>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</si>
  <si>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</si>
  <si>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</si>
  <si>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</si>
  <si>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</si>
  <si>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</si>
  <si>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</si>
  <si>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</si>
  <si>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</si>
  <si>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</si>
  <si>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</si>
  <si>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</si>
  <si>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</si>
  <si>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</si>
  <si>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</si>
  <si>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</si>
  <si>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</si>
  <si>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</si>
  <si>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</si>
  <si>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</si>
  <si>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</si>
  <si>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</si>
  <si>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</si>
  <si>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</si>
  <si>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</si>
  <si>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</si>
  <si>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</si>
  <si>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</si>
  <si>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</si>
  <si>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</si>
  <si>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</si>
  <si>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</si>
  <si>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</si>
  <si>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</si>
  <si>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</si>
  <si>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</si>
  <si>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</si>
  <si>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</si>
  <si>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</si>
  <si>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</si>
  <si>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</si>
  <si>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</si>
  <si>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</si>
  <si>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</si>
  <si>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</si>
  <si>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</si>
  <si>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</si>
  <si>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</si>
  <si>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</si>
  <si>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</si>
  <si>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</si>
  <si>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</si>
  <si>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</si>
  <si>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</si>
  <si>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</si>
  <si>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</si>
  <si>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</si>
  <si>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</si>
  <si>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</si>
  <si>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</si>
  <si>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</si>
  <si>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</si>
  <si>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</si>
  <si>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</si>
  <si>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</si>
  <si>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</si>
  <si>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</si>
  <si>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</si>
  <si>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</si>
  <si>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</si>
  <si>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</si>
  <si>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</si>
  <si>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</si>
  <si>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</si>
  <si>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</si>
  <si>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</si>
  <si>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</si>
  <si>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</si>
  <si>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</si>
  <si>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</si>
  <si>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</si>
  <si>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</si>
  <si>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</si>
  <si>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</si>
  <si>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</si>
  <si>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</si>
  <si>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</si>
  <si>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</si>
  <si>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</si>
  <si>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</si>
  <si>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</si>
  <si>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</si>
  <si>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</si>
  <si>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</si>
  <si>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</si>
  <si>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</si>
  <si>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</si>
  <si>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</si>
  <si>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</si>
  <si>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</si>
  <si>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</si>
  <si>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</si>
  <si>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</si>
  <si>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</si>
  <si>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</si>
  <si>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</si>
  <si>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</si>
  <si>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</si>
  <si>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</si>
  <si>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</si>
  <si>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</si>
  <si>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</si>
  <si>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</si>
  <si>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</si>
  <si>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</si>
  <si>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</si>
  <si>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</si>
  <si>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</si>
  <si>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</si>
  <si>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</si>
  <si>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</si>
  <si>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</si>
  <si>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</si>
  <si>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</si>
  <si>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</si>
  <si>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</si>
  <si>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</si>
  <si>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</si>
  <si>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</si>
  <si>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</si>
  <si>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</si>
  <si>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</si>
  <si>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</si>
  <si>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</si>
  <si>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</si>
  <si>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</si>
  <si>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</si>
  <si>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</si>
  <si>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</si>
  <si>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</si>
  <si>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</si>
  <si>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</si>
  <si>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</si>
  <si>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</si>
  <si>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</si>
  <si>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</si>
  <si>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</si>
  <si>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</si>
  <si>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</si>
  <si>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</si>
  <si>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</si>
  <si>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</si>
  <si>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</si>
  <si>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</si>
  <si>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</si>
  <si>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</si>
  <si>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</si>
  <si>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</si>
  <si>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</si>
  <si>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</si>
  <si>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</si>
  <si>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</si>
  <si>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</si>
  <si>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</si>
  <si>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</si>
  <si>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</si>
  <si>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</si>
  <si>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</si>
  <si>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</si>
  <si>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</si>
  <si>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</si>
  <si>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</si>
  <si>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</si>
  <si>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</si>
  <si>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</si>
  <si>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</si>
  <si>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</si>
  <si>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</si>
  <si>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</si>
  <si>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</si>
  <si>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</si>
  <si>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</si>
  <si>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</si>
  <si>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</si>
  <si>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</si>
  <si>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</si>
  <si>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</si>
  <si>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</si>
  <si>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</si>
  <si>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</si>
  <si>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</si>
  <si>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</si>
  <si>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</si>
  <si>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</si>
  <si>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</si>
  <si>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</si>
  <si>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</si>
  <si>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</si>
  <si>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</si>
  <si>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</si>
  <si>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</si>
  <si>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</si>
  <si>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</si>
  <si>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</si>
  <si>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</si>
  <si>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</si>
  <si>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</si>
  <si>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</si>
  <si>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</si>
  <si>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</si>
  <si>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</si>
  <si>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</si>
  <si>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</si>
  <si>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</si>
  <si>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</si>
  <si>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</si>
  <si>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</si>
  <si>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</si>
  <si>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</si>
  <si>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</si>
  <si>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</si>
  <si>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</si>
  <si>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</si>
  <si>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</si>
  <si>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</si>
  <si>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</si>
  <si>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</si>
  <si>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</si>
  <si>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</si>
  <si>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</si>
  <si>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</si>
  <si>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</si>
  <si>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</si>
  <si>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</si>
  <si>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</si>
  <si>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</si>
  <si>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</si>
  <si>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</si>
  <si>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</si>
  <si>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</si>
  <si>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</si>
  <si>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</si>
  <si>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</si>
  <si>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</si>
  <si>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</si>
  <si>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</si>
  <si>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</si>
  <si>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</si>
  <si>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</si>
  <si>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</si>
  <si>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</si>
  <si>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</si>
  <si>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</si>
  <si>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</si>
  <si>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</si>
  <si>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</si>
  <si>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</si>
  <si>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</si>
  <si>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</si>
  <si>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</si>
  <si>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</si>
  <si>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</si>
  <si>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</si>
  <si>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</si>
  <si>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</si>
  <si>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</si>
  <si>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</si>
  <si>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</si>
  <si>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</si>
  <si>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</si>
  <si>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</si>
  <si>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</si>
  <si>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</si>
  <si>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</si>
  <si>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</si>
  <si>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</si>
  <si>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</si>
  <si>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</si>
  <si>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</si>
  <si>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</si>
  <si>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</si>
  <si>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</si>
  <si>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</si>
  <si>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</si>
  <si>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</si>
  <si>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</si>
  <si>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</si>
  <si>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</si>
  <si>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</si>
  <si>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</si>
  <si>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</si>
  <si>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</si>
  <si>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</si>
  <si>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</si>
  <si>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</si>
  <si>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</si>
  <si>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</si>
  <si>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</si>
  <si>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</si>
  <si>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</si>
  <si>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</si>
  <si>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</si>
  <si>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</si>
  <si>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</si>
  <si>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</si>
  <si>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</si>
  <si>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</si>
  <si>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</si>
  <si>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</si>
  <si>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</si>
  <si>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</si>
  <si>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</si>
  <si>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</si>
  <si>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</si>
  <si>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</si>
  <si>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</si>
  <si>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</si>
  <si>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</si>
  <si>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</si>
  <si>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</si>
  <si>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</si>
  <si>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</si>
  <si>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</si>
  <si>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</si>
  <si>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</si>
  <si>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</si>
  <si>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</si>
  <si>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</si>
  <si>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</si>
  <si>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</si>
  <si>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</si>
  <si>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</si>
  <si>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</si>
  <si>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</si>
  <si>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</si>
  <si>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</si>
  <si>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</si>
  <si>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</si>
  <si>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</si>
  <si>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</si>
  <si>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</si>
  <si>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</si>
  <si>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</si>
  <si>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</si>
  <si>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</si>
  <si>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</si>
  <si>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</si>
  <si>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</si>
  <si>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</si>
  <si>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</si>
  <si>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</si>
  <si>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</si>
  <si>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</si>
  <si>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</si>
  <si>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</si>
  <si>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</si>
  <si>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</si>
  <si>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</si>
  <si>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</si>
  <si>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</si>
  <si>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</si>
  <si>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</si>
  <si>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</si>
  <si>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</si>
  <si>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</si>
  <si>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</si>
  <si>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</si>
  <si>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</si>
  <si>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</si>
  <si>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</si>
  <si>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</si>
  <si>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</si>
  <si>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</si>
  <si>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</si>
  <si>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</si>
  <si>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</si>
  <si>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</si>
  <si>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</si>
  <si>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</si>
  <si>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</si>
  <si>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</si>
  <si>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</si>
  <si>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</si>
  <si>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</si>
  <si>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</si>
  <si>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</si>
  <si>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</si>
  <si>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</si>
  <si>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</si>
  <si>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</si>
  <si>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</si>
  <si>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</si>
  <si>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</si>
  <si>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</si>
  <si>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</si>
  <si>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</si>
  <si>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</si>
  <si>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</si>
  <si>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</si>
  <si>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</si>
  <si>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</si>
  <si>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</si>
  <si>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</si>
  <si>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</si>
  <si>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</si>
  <si>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</si>
  <si>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</si>
  <si>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</si>
  <si>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</si>
  <si>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</si>
  <si>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</si>
  <si>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</si>
  <si>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</si>
  <si>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</si>
  <si>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</si>
  <si>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</si>
  <si>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</si>
  <si>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</si>
  <si>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</si>
  <si>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</si>
  <si>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</si>
  <si>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</si>
  <si>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</si>
  <si>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</si>
  <si>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</si>
  <si>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</si>
  <si>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</si>
  <si>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</si>
  <si>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</si>
  <si>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</si>
  <si>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</si>
  <si>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</si>
  <si>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</si>
  <si>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</si>
  <si>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</si>
  <si>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</si>
  <si>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</si>
  <si>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</si>
  <si>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</si>
  <si>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</si>
  <si>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</si>
  <si>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</si>
  <si>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</si>
  <si>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</si>
  <si>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</si>
  <si>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</si>
  <si>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</si>
  <si>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</si>
  <si>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</si>
  <si>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</si>
  <si>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</si>
  <si>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</si>
  <si>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</si>
  <si>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</si>
  <si>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</si>
  <si>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</si>
  <si>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</si>
  <si>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</si>
  <si>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</si>
  <si>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</si>
  <si>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</si>
  <si>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</si>
  <si>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</si>
  <si>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</si>
  <si>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</si>
  <si>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</si>
  <si>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</si>
  <si>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</si>
  <si>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</si>
  <si>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</si>
  <si>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</si>
  <si>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</si>
  <si>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</si>
  <si>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</si>
  <si>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</si>
  <si>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</si>
  <si>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</si>
  <si>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</si>
  <si>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</si>
  <si>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</si>
  <si>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</si>
  <si>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</si>
  <si>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</si>
  <si>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</si>
  <si>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</si>
  <si>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</si>
  <si>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</si>
  <si>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</si>
  <si>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</si>
  <si>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</si>
  <si>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</si>
  <si>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</si>
  <si>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</si>
  <si>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</si>
  <si>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</si>
  <si>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</si>
  <si>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</si>
  <si>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</si>
  <si>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</si>
  <si>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</si>
  <si>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</si>
  <si>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</si>
  <si>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</si>
  <si>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</si>
  <si>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</si>
  <si>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</si>
  <si>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</si>
  <si>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</si>
  <si>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</si>
  <si>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</si>
  <si>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</si>
  <si>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</si>
  <si>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</si>
  <si>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</si>
  <si>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</si>
  <si>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</si>
  <si>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</si>
  <si>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</si>
  <si>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</si>
  <si>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</si>
  <si>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</si>
  <si>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</si>
  <si>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</si>
  <si>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</si>
  <si>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</si>
  <si>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</si>
  <si>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</si>
  <si>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</si>
  <si>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</si>
  <si>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</si>
  <si>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</si>
  <si>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</si>
  <si>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</si>
  <si>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</si>
  <si>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</si>
  <si>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</si>
  <si>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</si>
  <si>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</si>
  <si>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</si>
  <si>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</si>
  <si>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</si>
  <si>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</si>
  <si>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</si>
  <si>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</si>
  <si>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</si>
  <si>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</si>
  <si>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</si>
  <si>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</si>
  <si>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</si>
  <si>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</si>
  <si>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</si>
  <si>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</si>
  <si>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</si>
  <si>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</si>
  <si>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</si>
  <si>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</si>
  <si>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</si>
  <si>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</si>
  <si>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</si>
  <si>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</si>
  <si>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</si>
  <si>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</si>
  <si>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</si>
  <si>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</si>
  <si>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</si>
  <si>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</si>
  <si>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</si>
  <si>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</si>
  <si>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</si>
  <si>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</si>
  <si>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</si>
  <si>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</si>
  <si>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</si>
  <si>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</si>
  <si>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</si>
  <si>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</si>
  <si>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</si>
  <si>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</si>
  <si>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</si>
  <si>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</si>
  <si>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</si>
  <si>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</si>
  <si>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</si>
  <si>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</si>
  <si>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</si>
  <si>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</si>
  <si>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</si>
  <si>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</si>
  <si>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</si>
  <si>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</si>
  <si>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</si>
  <si>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</si>
  <si>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</si>
  <si>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</si>
  <si>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</si>
  <si>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</si>
  <si>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</si>
  <si>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</si>
  <si>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</si>
  <si>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</si>
  <si>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</si>
  <si>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</si>
  <si>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</si>
  <si>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</si>
  <si>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</si>
  <si>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</si>
  <si>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</si>
  <si>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</si>
  <si>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</si>
  <si>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</si>
  <si>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</si>
  <si>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</si>
  <si>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</si>
  <si>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</si>
  <si>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</si>
  <si>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</si>
  <si>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</si>
  <si>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</si>
  <si>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</si>
  <si>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</si>
  <si>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</si>
  <si>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</si>
  <si>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</si>
  <si>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</si>
  <si>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</si>
  <si>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</si>
  <si>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</si>
  <si>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</si>
  <si>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</si>
  <si>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</si>
  <si>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</si>
  <si>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</si>
  <si>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</si>
  <si>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</si>
  <si>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</si>
  <si>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</si>
  <si>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</si>
  <si>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</si>
  <si>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</si>
  <si>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</si>
  <si>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</si>
  <si>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</si>
  <si>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</si>
  <si>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</si>
  <si>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</si>
  <si>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</si>
  <si>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</si>
  <si>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</si>
  <si>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</si>
  <si>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</si>
  <si>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</si>
  <si>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</si>
  <si>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</si>
  <si>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</si>
  <si>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</si>
  <si>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</si>
  <si>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</si>
  <si>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</si>
  <si>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</si>
  <si>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</si>
  <si>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</si>
  <si>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</si>
  <si>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</si>
  <si>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</si>
  <si>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</si>
  <si>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</si>
  <si>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</si>
  <si>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</si>
  <si>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</si>
  <si>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</si>
  <si>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</si>
  <si>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</si>
  <si>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</si>
  <si>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</si>
  <si>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</si>
  <si>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</si>
  <si>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</si>
  <si>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</si>
  <si>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</si>
  <si>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</si>
  <si>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</si>
  <si>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</si>
  <si>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</si>
  <si>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</si>
  <si>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</si>
  <si>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</si>
  <si>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</si>
  <si>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</si>
  <si>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</si>
  <si>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</si>
  <si>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</si>
  <si>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</si>
  <si>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</si>
  <si>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</si>
  <si>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</si>
  <si>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</si>
  <si>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</si>
  <si>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</si>
  <si>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</si>
  <si>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</si>
  <si>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</si>
  <si>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</si>
  <si>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</si>
  <si>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</si>
  <si>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</si>
  <si>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</si>
  <si>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</si>
  <si>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</si>
  <si>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</si>
  <si>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</si>
  <si>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</si>
  <si>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</si>
  <si>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</si>
  <si>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</si>
  <si>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</si>
  <si>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</si>
  <si>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</si>
  <si>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</si>
  <si>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</si>
  <si>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</si>
  <si>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</si>
  <si>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</si>
  <si>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</si>
  <si>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</si>
  <si>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</si>
  <si>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</si>
  <si>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</si>
  <si>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</si>
  <si>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</si>
  <si>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</si>
  <si>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</si>
  <si>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</si>
  <si>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</si>
  <si>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</si>
  <si>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</si>
  <si>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</si>
  <si>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</si>
  <si>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</si>
  <si>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</si>
  <si>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</si>
  <si>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</si>
  <si>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</si>
  <si>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</si>
  <si>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</si>
  <si>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</si>
  <si>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</si>
  <si>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</si>
  <si>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</si>
  <si>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</si>
  <si>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</si>
  <si>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</si>
  <si>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</si>
  <si>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</si>
  <si>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</si>
  <si>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</si>
  <si>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</si>
  <si>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</si>
  <si>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</si>
  <si>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</si>
  <si>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</si>
  <si>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</si>
  <si>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</si>
  <si>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</si>
  <si>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</si>
  <si>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</si>
  <si>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</si>
  <si>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</si>
  <si>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</si>
  <si>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</si>
  <si>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</si>
  <si>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</si>
  <si>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</si>
  <si>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</si>
  <si>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</si>
  <si>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</si>
  <si>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</si>
  <si>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</si>
  <si>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</si>
  <si>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</si>
  <si>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</si>
  <si>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</si>
  <si>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</si>
  <si>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</si>
  <si>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</si>
  <si>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</si>
  <si>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</si>
  <si>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</si>
  <si>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</si>
  <si>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</si>
  <si>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</si>
  <si>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</si>
  <si>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</si>
  <si>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</si>
  <si>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</si>
  <si>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</si>
  <si>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</si>
  <si>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</si>
  <si>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</si>
  <si>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</si>
  <si>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</si>
  <si>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</si>
  <si>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</si>
  <si>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</si>
  <si>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</si>
  <si>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</si>
  <si>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</si>
  <si>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</si>
  <si>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</si>
  <si>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</si>
  <si>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</si>
  <si>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</si>
  <si>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</si>
  <si>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</si>
  <si>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</si>
  <si>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</si>
  <si>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</si>
  <si>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</si>
  <si>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</si>
  <si>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</si>
  <si>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</si>
  <si>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</si>
  <si>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</si>
  <si>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</si>
  <si>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</si>
  <si>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</si>
  <si>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</si>
  <si>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</si>
  <si>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</si>
  <si>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</si>
  <si>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</si>
  <si>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</si>
  <si>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</si>
  <si>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</si>
  <si>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</si>
  <si>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</si>
  <si>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</si>
  <si>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</si>
  <si>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</si>
  <si>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</si>
  <si>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</si>
  <si>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</si>
  <si>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</si>
  <si>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</si>
  <si>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</si>
  <si>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</si>
  <si>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</si>
  <si>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</si>
  <si>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</si>
  <si>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</si>
  <si>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</si>
  <si>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</si>
  <si>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</si>
  <si>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</si>
  <si>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</si>
  <si>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</si>
  <si>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</si>
  <si>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</si>
  <si>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</si>
  <si>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</si>
  <si>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</si>
  <si>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</si>
  <si>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</si>
  <si>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</si>
  <si>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</si>
  <si>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</si>
  <si>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</si>
  <si>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</si>
  <si>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</si>
  <si>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</si>
  <si>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</si>
  <si>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</si>
  <si>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</si>
  <si>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</si>
  <si>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</si>
  <si>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</si>
  <si>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</si>
  <si>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</si>
  <si>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</si>
  <si>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</si>
  <si>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</si>
  <si>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</si>
  <si>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</si>
  <si>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</si>
  <si>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</si>
  <si>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</si>
  <si>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</si>
  <si>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</si>
  <si>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</si>
  <si>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</si>
  <si>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</si>
  <si>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</si>
  <si>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</si>
  <si>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</si>
  <si>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</si>
  <si>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</si>
  <si>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</si>
  <si>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</si>
  <si>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</si>
  <si>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</si>
  <si>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</si>
  <si>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</si>
  <si>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</si>
  <si>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</si>
  <si>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</si>
  <si>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</si>
  <si>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</si>
  <si>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</si>
  <si>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</si>
  <si>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</si>
  <si>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</si>
  <si>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</si>
  <si>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</si>
  <si>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</si>
  <si>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</si>
  <si>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</si>
  <si>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</si>
  <si>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</si>
  <si>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</si>
  <si>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</si>
  <si>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</si>
  <si>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</si>
  <si>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</si>
  <si>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</si>
  <si>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</si>
  <si>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</si>
  <si>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</si>
  <si>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</si>
  <si>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</si>
  <si>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</si>
  <si>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</si>
  <si>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</si>
  <si>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</si>
  <si>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</si>
  <si>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</si>
  <si>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</si>
  <si>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</si>
  <si>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</si>
  <si>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</si>
  <si>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</si>
  <si>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</si>
  <si>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</si>
  <si>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</si>
  <si>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</si>
  <si>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</si>
  <si>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</si>
  <si>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</si>
  <si>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</si>
  <si>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</si>
  <si>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</si>
  <si>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</si>
  <si>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</si>
  <si>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</si>
  <si>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</si>
  <si>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</si>
  <si>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</si>
  <si>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</si>
  <si>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</si>
  <si>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</si>
  <si>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</si>
  <si>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</si>
  <si>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</si>
  <si>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</si>
  <si>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</si>
  <si>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</si>
  <si>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</si>
  <si>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</si>
  <si>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</si>
  <si>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</si>
  <si>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</si>
  <si>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</si>
  <si>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</si>
  <si>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</si>
  <si>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</si>
  <si>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</si>
  <si>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</si>
  <si>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</si>
  <si>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</si>
  <si>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</si>
  <si>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</si>
  <si>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</si>
  <si>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</si>
  <si>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</si>
  <si>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</si>
  <si>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</si>
  <si>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</si>
  <si>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</si>
  <si>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</si>
  <si>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</si>
  <si>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</si>
  <si>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</si>
  <si>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</si>
  <si>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</si>
  <si>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</si>
  <si>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</si>
  <si>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</si>
  <si>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</si>
  <si>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</si>
  <si>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</si>
  <si>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</si>
  <si>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</si>
  <si>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</si>
  <si>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</si>
  <si>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</si>
  <si>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</si>
  <si>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</si>
  <si>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</si>
  <si>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</si>
  <si>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</si>
  <si>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</si>
  <si>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</si>
  <si>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</si>
  <si>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</si>
  <si>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</si>
  <si>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</si>
  <si>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</si>
  <si>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</si>
  <si>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</si>
  <si>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</si>
  <si>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</si>
  <si>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</si>
  <si>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</si>
  <si>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</si>
  <si>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</si>
  <si>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</si>
  <si>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</si>
  <si>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</si>
  <si>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</si>
  <si>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</si>
  <si>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</si>
  <si>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</si>
  <si>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</si>
  <si>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</si>
  <si>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</si>
  <si>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</si>
  <si>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</si>
  <si>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</si>
  <si>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</si>
  <si>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</si>
  <si>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</si>
  <si>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</si>
  <si>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</si>
  <si>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</si>
  <si>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</si>
  <si>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</si>
  <si>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</si>
  <si>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</si>
  <si>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</si>
  <si>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</si>
  <si>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</si>
  <si>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</si>
  <si>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</si>
  <si>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</si>
  <si>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</si>
  <si>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</si>
  <si>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</si>
  <si>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</si>
  <si>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</si>
  <si>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</si>
  <si>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</si>
  <si>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</si>
  <si>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</si>
  <si>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</si>
  <si>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</si>
  <si>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</si>
  <si>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</si>
  <si>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</si>
  <si>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</si>
  <si>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</si>
  <si>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</si>
  <si>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</si>
  <si>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</si>
  <si>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</si>
  <si>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</si>
  <si>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</si>
  <si>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</si>
  <si>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</si>
  <si>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</si>
  <si>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</si>
  <si>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</si>
  <si>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</si>
  <si>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</si>
  <si>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</si>
  <si>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</si>
  <si>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</si>
  <si>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</si>
  <si>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</si>
  <si>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</si>
  <si>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</si>
  <si>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</si>
  <si>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</si>
  <si>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</si>
  <si>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</si>
  <si>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</si>
  <si>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</si>
  <si>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</si>
  <si>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</si>
  <si>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</si>
  <si>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</si>
  <si>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</si>
  <si>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</si>
  <si>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</si>
  <si>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</si>
  <si>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</si>
  <si>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</si>
  <si>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</si>
  <si>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</si>
  <si>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</si>
  <si>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</si>
  <si>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</si>
  <si>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</si>
  <si>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</si>
  <si>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</si>
  <si>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</si>
  <si>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</si>
  <si>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</si>
  <si>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</si>
  <si>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</si>
  <si>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</si>
  <si>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</si>
  <si>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</si>
  <si>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</si>
  <si>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</si>
  <si>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</si>
  <si>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</si>
  <si>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</si>
  <si>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</si>
  <si>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</si>
  <si>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</si>
  <si>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</si>
  <si>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</si>
  <si>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</si>
  <si>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</si>
  <si>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</si>
  <si>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</si>
  <si>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</si>
  <si>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</si>
  <si>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</si>
  <si>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</si>
  <si>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</si>
  <si>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</si>
  <si>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</si>
  <si>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</si>
  <si>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</si>
  <si>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</si>
  <si>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</si>
  <si>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</si>
  <si>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</si>
  <si>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</si>
  <si>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</si>
  <si>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</si>
  <si>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</si>
  <si>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</si>
  <si>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</si>
  <si>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</si>
  <si>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</si>
  <si>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</si>
  <si>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</si>
  <si>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</si>
  <si>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</si>
  <si>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</si>
  <si>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</si>
  <si>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</si>
  <si>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</si>
  <si>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</si>
  <si>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</si>
  <si>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</si>
  <si>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</si>
  <si>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</si>
  <si>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</si>
  <si>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</si>
  <si>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</si>
  <si>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</si>
  <si>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</si>
  <si>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</si>
  <si>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</si>
  <si>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</si>
  <si>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</si>
  <si>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</si>
  <si>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</si>
  <si>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</si>
  <si>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</si>
  <si>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</si>
  <si>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</si>
  <si>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</si>
  <si>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</si>
  <si>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</si>
  <si>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</si>
  <si>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</si>
  <si>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</si>
  <si>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</si>
  <si>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</si>
  <si>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</si>
  <si>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</si>
  <si>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</si>
  <si>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</si>
  <si>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</si>
  <si>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</si>
  <si>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</si>
  <si>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</si>
  <si>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</si>
  <si>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</si>
  <si>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</si>
  <si>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</si>
  <si>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</si>
  <si>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</si>
  <si>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</si>
  <si>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</si>
  <si>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</si>
  <si>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</si>
  <si>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</si>
  <si>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</si>
  <si>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</si>
  <si>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</si>
  <si>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</si>
  <si>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</si>
  <si>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</si>
  <si>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</si>
  <si>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</si>
  <si>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</si>
  <si>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</si>
  <si>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</si>
  <si>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</si>
  <si>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</si>
  <si>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</si>
  <si>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</si>
  <si>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</si>
  <si>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</si>
  <si>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</si>
  <si>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</si>
  <si>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</si>
  <si>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</si>
  <si>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</si>
  <si>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</si>
  <si>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</si>
  <si>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</si>
  <si>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</si>
  <si>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</si>
  <si>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</si>
  <si>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</si>
  <si>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</si>
  <si>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</si>
  <si>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</si>
  <si>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</si>
  <si>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</si>
  <si>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</si>
  <si>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</si>
  <si>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</si>
  <si>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</si>
  <si>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</si>
  <si>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</si>
  <si>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</si>
  <si>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</si>
  <si>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</si>
  <si>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</si>
  <si>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</si>
  <si>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</si>
  <si>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</si>
  <si>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</si>
  <si>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</si>
  <si>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</si>
  <si>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</si>
  <si>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</si>
  <si>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</si>
  <si>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</si>
  <si>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</si>
  <si>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</si>
  <si>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</si>
  <si>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</si>
  <si>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</si>
  <si>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</si>
  <si>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</si>
  <si>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</si>
  <si>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</si>
  <si>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</si>
  <si>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</si>
  <si>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</si>
  <si>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</si>
  <si>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</si>
  <si>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</si>
  <si>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</si>
  <si>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</si>
  <si>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</si>
  <si>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</si>
  <si>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</si>
  <si>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</si>
  <si>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</si>
  <si>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</si>
  <si>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</si>
  <si>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</si>
  <si>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</si>
  <si>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</si>
  <si>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</si>
  <si>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</si>
  <si>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</si>
  <si>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</si>
  <si>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</si>
  <si>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</si>
  <si>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</si>
  <si>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</si>
  <si>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</si>
  <si>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</si>
  <si>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</si>
  <si>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</si>
  <si>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</si>
  <si>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</si>
  <si>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</si>
  <si>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</si>
  <si>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</si>
  <si>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</si>
  <si>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</si>
  <si>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</si>
  <si>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</si>
  <si>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</si>
  <si>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</si>
  <si>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</si>
  <si>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</si>
  <si>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</si>
  <si>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</si>
  <si>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</si>
  <si>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</si>
  <si>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</si>
  <si>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</si>
  <si>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</si>
  <si>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</si>
  <si>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</si>
  <si>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</si>
  <si>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</si>
  <si>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</si>
  <si>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</si>
  <si>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</si>
  <si>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</si>
  <si>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</si>
  <si>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</si>
  <si>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</si>
  <si>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</si>
  <si>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</si>
  <si>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</si>
  <si>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</si>
  <si>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</si>
  <si>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</si>
  <si>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</si>
  <si>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</si>
  <si>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</si>
  <si>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</si>
  <si>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</si>
  <si>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</si>
  <si>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</si>
  <si>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</si>
  <si>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</si>
  <si>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</si>
  <si>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</si>
  <si>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</si>
  <si>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</si>
  <si>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</si>
  <si>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</si>
  <si>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</si>
  <si>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</si>
  <si>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</si>
  <si>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</si>
  <si>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</si>
  <si>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</si>
  <si>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</si>
  <si>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</si>
  <si>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</si>
  <si>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</si>
  <si>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</si>
  <si>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</si>
  <si>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</si>
  <si>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</si>
  <si>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</si>
  <si>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</si>
  <si>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</si>
  <si>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</si>
  <si>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</si>
  <si>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</si>
  <si>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</si>
  <si>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</si>
  <si>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</si>
  <si>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</si>
  <si>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</si>
  <si>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</si>
  <si>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</si>
  <si>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</si>
  <si>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</si>
  <si>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</si>
  <si>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</si>
  <si>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</si>
  <si>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</si>
  <si>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</si>
  <si>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</si>
  <si>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</si>
  <si>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</si>
  <si>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</si>
  <si>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</si>
  <si>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</si>
  <si>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</si>
  <si>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</si>
  <si>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</si>
  <si>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</si>
  <si>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</si>
  <si>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</si>
  <si>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</si>
  <si>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</si>
  <si>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</si>
  <si>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</si>
  <si>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</si>
  <si>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</si>
  <si>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</si>
  <si>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</si>
  <si>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</si>
  <si>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</si>
  <si>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</si>
  <si>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</si>
  <si>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</si>
  <si>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</si>
  <si>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</si>
  <si>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</si>
  <si>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</si>
  <si>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</si>
  <si>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</si>
  <si>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</si>
  <si>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</si>
  <si>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</si>
  <si>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</si>
  <si>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</si>
  <si>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</si>
  <si>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</si>
  <si>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</si>
  <si>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</si>
  <si>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</si>
  <si>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</si>
  <si>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</si>
  <si>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</si>
  <si>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</si>
  <si>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</si>
  <si>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</si>
  <si>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</si>
  <si>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</si>
  <si>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</si>
  <si>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</si>
  <si>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</si>
  <si>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</si>
  <si>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</si>
  <si>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</si>
  <si>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</si>
  <si>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</si>
  <si>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</si>
  <si>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</si>
  <si>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</si>
  <si>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</si>
  <si>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</si>
  <si>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</si>
  <si>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</si>
  <si>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</si>
  <si>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</si>
  <si>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</si>
  <si>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</si>
  <si>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</si>
  <si>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</si>
  <si>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</si>
  <si>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</si>
  <si>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</si>
  <si>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</si>
  <si>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</si>
  <si>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</si>
  <si>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</si>
  <si>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</si>
  <si>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</si>
  <si>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</si>
  <si>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</si>
  <si>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</si>
  <si>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</si>
  <si>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</si>
  <si>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</si>
  <si>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</si>
  <si>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</si>
  <si>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</si>
  <si>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</si>
  <si>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</si>
  <si>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</si>
  <si>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</si>
  <si>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</si>
  <si>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</si>
  <si>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</si>
  <si>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</si>
  <si>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</si>
  <si>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</si>
  <si>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</si>
  <si>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</si>
  <si>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</si>
  <si>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</si>
  <si>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</si>
  <si>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</si>
  <si>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</si>
  <si>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</si>
  <si>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</si>
  <si>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</si>
  <si>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</si>
  <si>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</si>
  <si>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</si>
  <si>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</si>
  <si>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</si>
  <si>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</si>
  <si>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</si>
  <si>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</si>
  <si>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</si>
  <si>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</si>
  <si>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</si>
  <si>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</si>
  <si>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</si>
  <si>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</si>
  <si>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</si>
  <si>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</si>
  <si>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</si>
  <si>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</si>
  <si>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</si>
  <si>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</si>
  <si>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</si>
  <si>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</si>
  <si>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</si>
  <si>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</si>
  <si>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</si>
  <si>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</si>
  <si>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</si>
  <si>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</si>
  <si>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</si>
  <si>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</si>
  <si>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</si>
  <si>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</si>
  <si>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</si>
  <si>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</si>
  <si>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</si>
  <si>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</si>
  <si>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</si>
  <si>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</si>
  <si>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</si>
  <si>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</si>
  <si>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</si>
  <si>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</si>
  <si>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</si>
  <si>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</si>
  <si>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</si>
  <si>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</si>
  <si>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</si>
  <si>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</si>
  <si>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</si>
  <si>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</si>
  <si>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</si>
  <si>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</si>
  <si>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</si>
  <si>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</si>
  <si>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</si>
  <si>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</si>
  <si>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</si>
  <si>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</si>
  <si>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</si>
  <si>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</si>
  <si>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</si>
  <si>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</si>
  <si>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</si>
  <si>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</si>
  <si>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</si>
  <si>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</si>
  <si>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</si>
  <si>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</si>
  <si>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</si>
  <si>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</si>
  <si>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</si>
  <si>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</si>
  <si>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</si>
  <si>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</si>
  <si>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</si>
  <si>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</si>
  <si>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</si>
  <si>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</si>
  <si>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</si>
  <si>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</si>
  <si>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</si>
  <si>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</si>
  <si>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</si>
  <si>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</si>
  <si>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</si>
  <si>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</si>
  <si>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</si>
  <si>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</si>
  <si>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</si>
  <si>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</si>
  <si>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</si>
  <si>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</si>
  <si>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</si>
  <si>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</si>
  <si>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</si>
  <si>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</si>
  <si>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</si>
  <si>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</si>
  <si>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</si>
  <si>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</si>
  <si>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</si>
  <si>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</si>
  <si>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</si>
  <si>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</si>
  <si>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</si>
  <si>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</si>
  <si>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</si>
  <si>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</si>
  <si>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</si>
  <si>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</si>
  <si>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</si>
  <si>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</si>
  <si>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</si>
  <si>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</si>
  <si>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</si>
  <si>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</si>
  <si>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</si>
  <si>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</si>
  <si>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</si>
  <si>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</si>
  <si>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</si>
  <si>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</si>
  <si>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</si>
  <si>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</si>
  <si>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</si>
  <si>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</si>
  <si>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</si>
  <si>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</si>
  <si>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</si>
  <si>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</si>
  <si>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</si>
  <si>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</si>
  <si>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</si>
  <si>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</si>
  <si>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</si>
  <si>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</si>
  <si>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</si>
  <si>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</si>
  <si>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</si>
  <si>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</si>
  <si>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</si>
  <si>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</si>
  <si>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</si>
  <si>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</si>
  <si>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</si>
  <si>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</si>
  <si>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</si>
  <si>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</si>
  <si>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</si>
  <si>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</si>
  <si>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</si>
  <si>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</si>
  <si>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</si>
  <si>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</si>
  <si>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</si>
  <si>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</si>
  <si>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</si>
  <si>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</si>
  <si>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</si>
  <si>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</si>
  <si>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</si>
  <si>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</si>
  <si>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</si>
  <si>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</si>
  <si>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</si>
  <si>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</si>
  <si>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</si>
  <si>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</si>
  <si>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</si>
  <si>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</si>
  <si>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</si>
  <si>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</si>
  <si>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</si>
  <si>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</si>
  <si>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</si>
  <si>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</si>
  <si>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</si>
  <si>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</si>
  <si>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</si>
  <si>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</si>
  <si>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</si>
  <si>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</si>
  <si>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</si>
  <si>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</si>
  <si>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</si>
  <si>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</si>
  <si>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</si>
  <si>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</si>
  <si>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</si>
  <si>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</si>
  <si>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</si>
  <si>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</si>
  <si>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</si>
  <si>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</si>
  <si>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</si>
  <si>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</si>
  <si>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</si>
  <si>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</si>
  <si>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</si>
  <si>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</si>
  <si>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</si>
  <si>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</si>
  <si>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</si>
  <si>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</si>
  <si>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</si>
  <si>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</si>
  <si>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</si>
  <si>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</si>
  <si>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</si>
  <si>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</si>
  <si>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</si>
  <si>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</si>
  <si>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</si>
  <si>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</si>
  <si>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</si>
  <si>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</si>
  <si>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</si>
  <si>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</si>
  <si>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</si>
  <si>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</si>
  <si>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</si>
  <si>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</si>
  <si>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</si>
  <si>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</si>
  <si>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</si>
  <si>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</si>
  <si>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</si>
  <si>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</si>
  <si>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</si>
  <si>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</si>
  <si>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</si>
  <si>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</si>
  <si>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</si>
  <si>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</si>
  <si>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</si>
  <si>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</si>
  <si>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</si>
  <si>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</si>
  <si>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</si>
  <si>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</si>
  <si>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</si>
  <si>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</si>
  <si>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</si>
  <si>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</si>
  <si>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</si>
  <si>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</si>
  <si>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</si>
  <si>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</si>
  <si>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</si>
  <si>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</si>
  <si>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</si>
  <si>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</si>
  <si>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</si>
  <si>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</si>
  <si>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</si>
  <si>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</si>
  <si>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</si>
  <si>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</si>
  <si>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</si>
  <si>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</si>
  <si>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</si>
  <si>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</si>
  <si>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</si>
  <si>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</si>
  <si>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</si>
  <si>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</si>
  <si>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</si>
  <si>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</si>
  <si>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</si>
  <si>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</si>
  <si>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</si>
  <si>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</si>
  <si>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</si>
  <si>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</si>
  <si>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</si>
  <si>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</si>
  <si>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</si>
  <si>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</si>
  <si>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</si>
  <si>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</si>
  <si>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</si>
  <si>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</si>
  <si>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</si>
  <si>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</si>
  <si>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</si>
  <si>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</si>
  <si>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</si>
  <si>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</si>
  <si>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</si>
  <si>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</si>
  <si>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</si>
  <si>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</si>
  <si>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</si>
  <si>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</si>
  <si>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</si>
  <si>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</si>
  <si>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</si>
  <si>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</si>
  <si>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</si>
  <si>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</si>
  <si>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</si>
  <si>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</si>
  <si>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</si>
  <si>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</si>
  <si>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</si>
  <si>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</si>
  <si>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</si>
  <si>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</si>
  <si>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</si>
  <si>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</si>
  <si>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</si>
  <si>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</si>
  <si>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</si>
  <si>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</si>
  <si>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</si>
  <si>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</si>
  <si>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</si>
  <si>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</si>
  <si>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</si>
  <si>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</si>
  <si>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</si>
  <si>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</si>
  <si>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</si>
  <si>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</si>
  <si>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</si>
  <si>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</si>
  <si>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</si>
  <si>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</si>
  <si>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</si>
  <si>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</si>
  <si>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</si>
  <si>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</si>
  <si>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</si>
  <si>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</si>
  <si>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</si>
  <si>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</si>
  <si>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</si>
  <si>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</si>
  <si>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</si>
  <si>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</si>
  <si>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</si>
  <si>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</si>
  <si>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</si>
  <si>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</si>
  <si>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</si>
  <si>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</si>
  <si>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</si>
  <si>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</si>
  <si>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</si>
  <si>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</si>
  <si>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</si>
  <si>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</si>
  <si>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</si>
  <si>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</si>
  <si>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</si>
  <si>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</si>
  <si>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</si>
  <si>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</si>
  <si>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</si>
  <si>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</si>
  <si>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</si>
  <si>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</si>
  <si>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</si>
  <si>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</si>
  <si>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</si>
  <si>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</si>
  <si>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</si>
  <si>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</si>
  <si>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</si>
  <si>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</si>
  <si>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</si>
  <si>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</si>
  <si>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</si>
  <si>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</si>
  <si>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</si>
  <si>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</si>
  <si>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</si>
  <si>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</si>
  <si>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</si>
  <si>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</si>
  <si>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</si>
  <si>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</si>
  <si>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</si>
  <si>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</si>
  <si>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</si>
  <si>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</si>
  <si>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</si>
  <si>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</si>
  <si>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</si>
  <si>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</si>
  <si>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</si>
  <si>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</si>
  <si>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</si>
  <si>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</si>
  <si>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</si>
  <si>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</si>
  <si>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</si>
  <si>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</si>
  <si>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</si>
  <si>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</si>
  <si>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</si>
  <si>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</si>
  <si>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</si>
  <si>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</si>
  <si>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</si>
  <si>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</si>
  <si>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</si>
  <si>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</si>
  <si>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</si>
  <si>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</si>
  <si>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</si>
  <si>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</si>
  <si>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</si>
  <si>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</si>
  <si>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</si>
  <si>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</si>
  <si>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</si>
  <si>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</si>
  <si>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</si>
  <si>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</si>
  <si>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</si>
  <si>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</si>
  <si>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</si>
  <si>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</si>
  <si>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</si>
  <si>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</si>
  <si>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</si>
  <si>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</si>
  <si>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</si>
  <si>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</si>
  <si>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</si>
  <si>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</si>
  <si>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</si>
  <si>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</si>
  <si>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</si>
  <si>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</si>
  <si>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</si>
  <si>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</si>
  <si>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</si>
  <si>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</si>
  <si>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</si>
  <si>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</si>
  <si>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</si>
  <si>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</si>
  <si>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</si>
  <si>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</si>
  <si>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</si>
  <si>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</si>
  <si>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</si>
  <si>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</si>
  <si>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</si>
  <si>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</si>
  <si>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</si>
  <si>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</si>
  <si>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</si>
  <si>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</si>
  <si>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</si>
  <si>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</si>
  <si>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</si>
  <si>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</si>
  <si>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</si>
  <si>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</si>
  <si>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</si>
  <si>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</si>
  <si>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</si>
  <si>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</si>
  <si>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</si>
  <si>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</si>
  <si>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</si>
  <si>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</si>
  <si>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</si>
  <si>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</si>
  <si>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</si>
  <si>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</si>
  <si>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</si>
  <si>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</si>
  <si>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</si>
  <si>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</si>
  <si>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</si>
  <si>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</si>
  <si>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</si>
  <si>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</si>
  <si>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</si>
  <si>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</si>
  <si>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</si>
  <si>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</si>
  <si>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</si>
  <si>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</si>
  <si>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</si>
  <si>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</si>
  <si>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</si>
  <si>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</si>
  <si>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</si>
  <si>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</si>
  <si>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</si>
  <si>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</si>
  <si>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</si>
  <si>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</si>
  <si>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</si>
  <si>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</si>
  <si>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</si>
  <si>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</si>
  <si>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</si>
  <si>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</si>
  <si>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</si>
  <si>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</si>
  <si>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</si>
  <si>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</si>
  <si>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</si>
  <si>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</si>
  <si>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</si>
  <si>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</si>
  <si>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</si>
  <si>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</si>
  <si>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</si>
  <si>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</si>
  <si>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</si>
  <si>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</si>
  <si>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</si>
  <si>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</si>
  <si>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</si>
  <si>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</si>
  <si>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</si>
  <si>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</si>
  <si>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</si>
  <si>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</si>
  <si>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</si>
  <si>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</si>
  <si>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</si>
  <si>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</si>
  <si>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</si>
  <si>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</si>
  <si>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</si>
  <si>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</si>
  <si>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</si>
  <si>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</si>
  <si>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</si>
  <si>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</si>
  <si>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</si>
  <si>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</si>
  <si>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</si>
  <si>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</si>
  <si>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</si>
  <si>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</si>
  <si>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</si>
  <si>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</si>
  <si>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</si>
  <si>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</si>
  <si>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</si>
  <si>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</si>
  <si>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</si>
  <si>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</si>
  <si>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</si>
  <si>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</si>
  <si>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</si>
  <si>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</si>
  <si>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</si>
  <si>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</si>
  <si>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</si>
  <si>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</si>
  <si>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</si>
  <si>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</si>
  <si>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</si>
  <si>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</si>
  <si>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</si>
  <si>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</si>
  <si>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</si>
  <si>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</si>
  <si>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</si>
  <si>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</si>
  <si>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</si>
  <si>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</si>
  <si>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</si>
  <si>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</si>
  <si>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</si>
  <si>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</si>
  <si>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</si>
  <si>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</si>
  <si>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</si>
  <si>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</si>
  <si>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</si>
  <si>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</si>
  <si>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</si>
  <si>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</si>
  <si>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</si>
  <si>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</si>
  <si>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</si>
  <si>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</si>
  <si>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</si>
  <si>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</si>
  <si>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</si>
  <si>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</si>
  <si>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</si>
  <si>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</si>
  <si>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</si>
  <si>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</si>
  <si>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</si>
  <si>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</si>
  <si>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</si>
  <si>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</si>
  <si>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</si>
  <si>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</si>
  <si>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</si>
  <si>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</si>
  <si>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</si>
  <si>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</si>
  <si>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</si>
  <si>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</si>
  <si>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</si>
  <si>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</si>
  <si>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</si>
  <si>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</si>
  <si>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</si>
  <si>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</si>
  <si>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</si>
  <si>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</si>
  <si>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</si>
  <si>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</si>
  <si>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</si>
  <si>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</si>
  <si>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</si>
  <si>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</si>
  <si>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</si>
  <si>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</si>
  <si>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</si>
  <si>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</si>
  <si>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</si>
  <si>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</si>
  <si>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</si>
  <si>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</si>
  <si>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</si>
  <si>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</si>
  <si>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</si>
  <si>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</si>
  <si>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</si>
  <si>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</si>
  <si>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</si>
  <si>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</si>
  <si>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</si>
  <si>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</si>
  <si>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</si>
  <si>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</si>
  <si>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</si>
  <si>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</si>
  <si>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</si>
  <si>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</si>
  <si>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</si>
  <si>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</si>
  <si>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</si>
  <si>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</si>
  <si>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</si>
  <si>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</si>
  <si>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</si>
  <si>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</si>
  <si>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</si>
  <si>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</si>
  <si>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</si>
  <si>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</si>
  <si>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</si>
  <si>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</si>
  <si>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</si>
  <si>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</si>
  <si>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</si>
  <si>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</si>
  <si>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</si>
  <si>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</si>
  <si>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</si>
  <si>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</si>
  <si>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</si>
  <si>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</si>
  <si>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</si>
  <si>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</si>
  <si>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</si>
  <si>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</si>
  <si>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</si>
  <si>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</si>
  <si>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</si>
  <si>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</si>
  <si>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</si>
  <si>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</si>
  <si>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</si>
  <si>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</si>
  <si>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</si>
  <si>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</si>
  <si>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</si>
  <si>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</si>
  <si>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</si>
  <si>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</si>
  <si>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</si>
  <si>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</si>
  <si>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</si>
  <si>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</si>
  <si>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</si>
  <si>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</si>
  <si>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</si>
  <si>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</si>
  <si>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</si>
  <si>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</si>
  <si>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</si>
  <si>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</si>
  <si>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</si>
  <si>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</si>
  <si>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</si>
  <si>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</si>
  <si>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</si>
  <si>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</si>
  <si>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</si>
  <si>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</si>
  <si>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</si>
  <si>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</si>
  <si>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</si>
  <si>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</si>
  <si>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</si>
  <si>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</si>
  <si>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</si>
  <si>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</si>
  <si>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</si>
  <si>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</si>
  <si>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</si>
  <si>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</si>
  <si>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</si>
  <si>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</si>
  <si>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</si>
  <si>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</si>
  <si>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</si>
  <si>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</si>
  <si>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</si>
  <si>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</si>
  <si>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</si>
  <si>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</si>
  <si>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</si>
  <si>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</si>
  <si>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</si>
  <si>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</si>
  <si>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</si>
  <si>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</si>
  <si>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</si>
  <si>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</si>
  <si>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</si>
  <si>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</si>
  <si>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</si>
  <si>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</si>
  <si>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</si>
  <si>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</si>
  <si>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</si>
  <si>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</si>
  <si>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</si>
  <si>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</si>
  <si>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</si>
  <si>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</si>
  <si>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</si>
  <si>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</si>
  <si>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</si>
  <si>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</si>
  <si>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</si>
  <si>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</si>
  <si>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</si>
  <si>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</si>
  <si>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</si>
  <si>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</si>
  <si>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</si>
  <si>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</si>
  <si>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</si>
  <si>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</si>
  <si>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</si>
  <si>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</si>
  <si>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</si>
  <si>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</si>
  <si>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</si>
  <si>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</si>
  <si>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</si>
  <si>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</si>
  <si>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</si>
  <si>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</si>
  <si>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</si>
  <si>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</si>
  <si>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</si>
  <si>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</si>
  <si>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</si>
  <si>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</si>
  <si>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</si>
  <si>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</si>
  <si>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</si>
  <si>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</si>
  <si>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</si>
  <si>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</si>
  <si>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</si>
  <si>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</si>
  <si>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</si>
  <si>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</si>
  <si>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</si>
  <si>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</si>
  <si>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</si>
  <si>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</si>
  <si>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</si>
  <si>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</si>
  <si>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</si>
  <si>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</si>
  <si>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</si>
  <si>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</si>
  <si>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</si>
  <si>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</si>
  <si>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</si>
  <si>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</si>
  <si>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</si>
  <si>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</si>
  <si>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</si>
  <si>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</si>
  <si>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</si>
  <si>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</si>
  <si>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</si>
  <si>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</si>
  <si>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</si>
  <si>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</si>
  <si>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</si>
  <si>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</si>
  <si>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</si>
  <si>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</si>
  <si>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</si>
  <si>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</si>
  <si>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</si>
  <si>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</si>
  <si>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</si>
  <si>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</si>
  <si>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</si>
  <si>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</si>
  <si>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</si>
  <si>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</si>
  <si>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</si>
  <si>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</si>
  <si>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</si>
  <si>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</si>
  <si>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</si>
  <si>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</si>
  <si>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</si>
  <si>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</si>
  <si>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</si>
  <si>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</si>
  <si>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</si>
  <si>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</si>
  <si>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</si>
  <si>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</si>
  <si>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</si>
  <si>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</si>
  <si>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</si>
  <si>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</si>
  <si>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</si>
  <si>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</si>
  <si>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</si>
  <si>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</si>
  <si>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</si>
  <si>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</si>
  <si>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</si>
  <si>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</si>
  <si>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</si>
  <si>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</si>
  <si>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</si>
  <si>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</si>
  <si>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</si>
  <si>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</si>
  <si>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</si>
  <si>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</si>
  <si>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</si>
  <si>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</si>
  <si>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</si>
  <si>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</si>
  <si>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</si>
  <si>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</si>
  <si>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</si>
  <si>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</si>
  <si>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</si>
  <si>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</si>
  <si>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</si>
  <si>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</si>
  <si>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</si>
  <si>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</si>
  <si>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</si>
  <si>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</si>
  <si>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</si>
  <si>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</si>
  <si>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</si>
  <si>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</si>
  <si>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</si>
  <si>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</si>
  <si>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</si>
  <si>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</si>
  <si>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</si>
  <si>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</si>
  <si>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</si>
  <si>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</si>
  <si>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</si>
  <si>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</si>
  <si>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</si>
  <si>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</si>
  <si>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</si>
  <si>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</si>
  <si>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</si>
  <si>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</si>
  <si>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</si>
  <si>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</si>
  <si>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</si>
  <si>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</si>
  <si>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</si>
  <si>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</si>
  <si>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</si>
  <si>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</si>
  <si>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</si>
  <si>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</si>
  <si>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</si>
  <si>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</si>
  <si>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</si>
  <si>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</si>
  <si>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</si>
  <si>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</si>
  <si>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</si>
  <si>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</si>
  <si>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</si>
  <si>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</si>
  <si>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</si>
  <si>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</si>
  <si>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</si>
  <si>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</si>
  <si>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</si>
  <si>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</si>
  <si>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</si>
  <si>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</si>
  <si>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</si>
  <si>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</si>
  <si>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</si>
  <si>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</si>
  <si>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</si>
  <si>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</si>
  <si>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</si>
  <si>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</si>
  <si>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</si>
  <si>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</si>
  <si>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</si>
  <si>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</si>
  <si>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</si>
  <si>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</si>
  <si>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</si>
  <si>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</si>
  <si>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</si>
  <si>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</si>
  <si>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</si>
  <si>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</si>
  <si>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</si>
  <si>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</si>
  <si>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</si>
  <si>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</si>
  <si>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</si>
  <si>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</si>
  <si>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</si>
  <si>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</si>
  <si>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</si>
  <si>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</si>
  <si>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</si>
  <si>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</si>
  <si>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</si>
  <si>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</si>
  <si>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</si>
  <si>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</si>
  <si>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</si>
  <si>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</si>
  <si>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</si>
  <si>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</si>
  <si>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</si>
  <si>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</si>
  <si>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</si>
  <si>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</si>
  <si>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</si>
  <si>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</si>
  <si>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</si>
  <si>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</si>
  <si>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</si>
  <si>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</si>
  <si>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</si>
  <si>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</si>
  <si>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</si>
  <si>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</si>
  <si>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</si>
  <si>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</si>
  <si>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</si>
  <si>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</si>
  <si>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</si>
  <si>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</si>
  <si>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</si>
  <si>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</si>
  <si>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</si>
  <si>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</si>
  <si>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</si>
  <si>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</si>
  <si>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</si>
  <si>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</si>
  <si>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</si>
  <si>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</si>
  <si>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</si>
  <si>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</si>
  <si>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</si>
  <si>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</si>
  <si>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</si>
  <si>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</si>
  <si>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</si>
  <si>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</si>
  <si>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</si>
  <si>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</si>
  <si>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</si>
  <si>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</si>
  <si>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</si>
  <si>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</si>
  <si>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</si>
  <si>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</si>
  <si>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</si>
  <si>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</si>
  <si>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</si>
  <si>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</si>
  <si>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</si>
  <si>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</si>
  <si>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</si>
  <si>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</si>
  <si>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</si>
  <si>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</si>
  <si>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</si>
  <si>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</si>
  <si>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</si>
  <si>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</si>
  <si>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</si>
  <si>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</si>
  <si>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</si>
  <si>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</si>
  <si>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</si>
  <si>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</si>
  <si>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</si>
  <si>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</si>
  <si>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</si>
  <si>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</si>
  <si>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</si>
  <si>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</si>
  <si>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</si>
  <si>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</si>
  <si>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</si>
  <si>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</si>
  <si>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</si>
  <si>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</si>
  <si>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</si>
  <si>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</si>
  <si>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</si>
  <si>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</si>
  <si>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</si>
  <si>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</si>
  <si>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</si>
  <si>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</si>
  <si>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</si>
  <si>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</si>
  <si>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</si>
  <si>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</si>
  <si>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</si>
  <si>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</si>
  <si>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</si>
  <si>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</si>
  <si>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</si>
  <si>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</si>
  <si>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</si>
  <si>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</si>
  <si>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</si>
  <si>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</si>
  <si>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</si>
  <si>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</si>
  <si>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</si>
  <si>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</si>
  <si>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</si>
  <si>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</si>
  <si>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</si>
  <si>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</si>
  <si>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</si>
  <si>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</si>
  <si>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</si>
  <si>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</si>
  <si>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</si>
  <si>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</si>
  <si>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</si>
  <si>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</si>
  <si>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</si>
  <si>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</si>
  <si>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</si>
  <si>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</si>
  <si>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</si>
  <si>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</si>
  <si>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</si>
  <si>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</si>
  <si>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</si>
  <si>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</si>
  <si>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</si>
  <si>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</si>
  <si>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</si>
  <si>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</si>
  <si>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</si>
  <si>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</si>
  <si>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</si>
  <si>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</si>
  <si>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</si>
  <si>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</si>
  <si>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</si>
  <si>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</si>
  <si>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</si>
  <si>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</si>
  <si>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</si>
  <si>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</si>
  <si>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</si>
  <si>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</si>
  <si>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</si>
  <si>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</si>
  <si>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</si>
  <si>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</si>
  <si>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</si>
  <si>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</si>
  <si>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</si>
  <si>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</si>
  <si>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</si>
  <si>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</si>
  <si>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</si>
  <si>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</si>
  <si>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</si>
  <si>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</si>
  <si>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</si>
  <si>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</si>
  <si>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</si>
  <si>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</si>
  <si>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</si>
  <si>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</si>
  <si>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</si>
  <si>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</si>
  <si>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</si>
  <si>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</si>
  <si>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</si>
  <si>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</si>
  <si>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</si>
  <si>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</si>
  <si>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</si>
  <si>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Greenwood Colorado, LP </t>
  </si>
  <si>
    <t xml:space="preserve">Greenwood Colorado Apartments </t>
  </si>
  <si>
    <t>City of Pasadena</t>
  </si>
  <si>
    <t>William Huang</t>
  </si>
  <si>
    <t>649 N. Fair Oaks Avenue, Suite 202</t>
  </si>
  <si>
    <t>Pasadena</t>
  </si>
  <si>
    <t xml:space="preserve">George Russo </t>
  </si>
  <si>
    <t xml:space="preserve">Chief Financial Officer </t>
  </si>
  <si>
    <t>5747-017-030; 5747-017-056; 5747-017-029; 5747-017-031; 5747-017-041; and 5747-017-043</t>
  </si>
  <si>
    <t>40%/60% Average Income</t>
  </si>
  <si>
    <t>11150 W Olympic Blvd, Suite 620</t>
  </si>
  <si>
    <t xml:space="preserve">Los Angeles </t>
  </si>
  <si>
    <t>CA</t>
  </si>
  <si>
    <t xml:space="preserve">Loren Messeri </t>
  </si>
  <si>
    <t>310-575-3543</t>
  </si>
  <si>
    <t>310-575-3563</t>
  </si>
  <si>
    <t>lmesseri@metahousing.com</t>
  </si>
  <si>
    <t xml:space="preserve">Greenwood Colorado, LLC </t>
  </si>
  <si>
    <t>Administrative GP</t>
  </si>
  <si>
    <t>Managing GP</t>
  </si>
  <si>
    <t xml:space="preserve">WCH Affordable LXVI, LLC </t>
  </si>
  <si>
    <t>Meta Development Partners, LLC</t>
  </si>
  <si>
    <t xml:space="preserve">Western Community Housing, Inc. </t>
  </si>
  <si>
    <t xml:space="preserve">WSH Management, Inc. </t>
  </si>
  <si>
    <t xml:space="preserve">Meta Development, LLC </t>
  </si>
  <si>
    <t xml:space="preserve">1946, 1956, 1976 E Colorado Boulevard &amp; 20 S Greenwood Avenue </t>
  </si>
  <si>
    <t>151 Kalmus Drive, Suite J-5</t>
  </si>
  <si>
    <t>Costa Mesa</t>
  </si>
  <si>
    <t>Graham Espley-Jones</t>
  </si>
  <si>
    <t>714-508-8301</t>
  </si>
  <si>
    <t>graham@wchousing.org</t>
  </si>
  <si>
    <t xml:space="preserve">Chris Maffris </t>
  </si>
  <si>
    <t>cmaffris@metahousing.com</t>
  </si>
  <si>
    <t>Los Angeles, CA 90064</t>
  </si>
  <si>
    <t>Studio One Eleven</t>
  </si>
  <si>
    <t>245 E 3rd St</t>
  </si>
  <si>
    <t>Long Beach, CA 90802</t>
  </si>
  <si>
    <t>Ryan Caldera</t>
  </si>
  <si>
    <t>562-901-1500</t>
  </si>
  <si>
    <t>Ryan.Caldera@studio-111.com</t>
  </si>
  <si>
    <t>Bocarsly Emden Cowan Esmail &amp; Arndt LLP</t>
  </si>
  <si>
    <t>633 W 5th St, Suite 7000</t>
  </si>
  <si>
    <t>Los Angeles, CA 90071</t>
  </si>
  <si>
    <t>Juan Bustamante</t>
  </si>
  <si>
    <t>(213) 239-8082</t>
  </si>
  <si>
    <t xml:space="preserve">(213) 239-0410	</t>
  </si>
  <si>
    <t>jbustamante@bocarsly.com</t>
  </si>
  <si>
    <t>Novogradac &amp; Company, LLP</t>
  </si>
  <si>
    <t>211 E Ocean Blvd 6th Floor</t>
  </si>
  <si>
    <t>Bill Letsinger</t>
  </si>
  <si>
    <t>(562) 256-2340</t>
  </si>
  <si>
    <t>(562) 432-9483</t>
  </si>
  <si>
    <t>Bill.Letsinger@novoco.com</t>
  </si>
  <si>
    <t xml:space="preserve">Boston Financial </t>
  </si>
  <si>
    <t>8335 Sunset Blvd, Ste 203</t>
  </si>
  <si>
    <t>West Hollywood, CA 90069</t>
  </si>
  <si>
    <t xml:space="preserve">Roy Faerber </t>
  </si>
  <si>
    <t xml:space="preserve">(310) 860-4550 </t>
  </si>
  <si>
    <t>Roy.Faerber@bfim.com</t>
  </si>
  <si>
    <t>Novogradac &amp; Company LLP</t>
  </si>
  <si>
    <t>6700 Antioch Road, Suite 450</t>
  </si>
  <si>
    <t>Merriam, KS 66204</t>
  </si>
  <si>
    <t>Rachel B. Denton</t>
  </si>
  <si>
    <t>(913) 312-4612</t>
  </si>
  <si>
    <t>rachel.denton@novoco.com</t>
  </si>
  <si>
    <t>18881 Von Karman Ave, Suite 720</t>
  </si>
  <si>
    <t>Irvine, CA 92612</t>
  </si>
  <si>
    <t xml:space="preserve">Kim Pollack 														</t>
  </si>
  <si>
    <t>(949) 748-8201</t>
  </si>
  <si>
    <t>(949) 748-8220</t>
  </si>
  <si>
    <t>kimp@wshmgmt.com</t>
  </si>
  <si>
    <t>California Municipal Finance Authority</t>
  </si>
  <si>
    <t>2111 Palomar Airport Rd, Suite 320</t>
  </si>
  <si>
    <t>Carlsbad, CA 92011</t>
  </si>
  <si>
    <t>Anthony Stubbs</t>
  </si>
  <si>
    <t>(760) 930-1333</t>
  </si>
  <si>
    <t>(760) 683-3390</t>
  </si>
  <si>
    <t>astubbs@cmfa-ca.com</t>
  </si>
  <si>
    <t xml:space="preserve">Trustee </t>
  </si>
  <si>
    <t xml:space="preserve">Safehold, Inc. </t>
  </si>
  <si>
    <t>Secured by Leasehold Interest</t>
  </si>
  <si>
    <t>Inner City Infill Site</t>
  </si>
  <si>
    <t>Citibank - Tax-Exempt</t>
  </si>
  <si>
    <t>Citibank - Taxable</t>
  </si>
  <si>
    <t>Safehold - Tenant Improvement Allowance</t>
  </si>
  <si>
    <t>Tax Credit Equity - Federal</t>
  </si>
  <si>
    <t>Tax Credit Equity - State</t>
  </si>
  <si>
    <t>Deferred Operating Reserve</t>
  </si>
  <si>
    <t>Citibank - Tax Exempt</t>
  </si>
  <si>
    <t>Deferred Dev Fee</t>
  </si>
  <si>
    <t xml:space="preserve">Housing Director </t>
  </si>
  <si>
    <t>(626) 744-8320</t>
  </si>
  <si>
    <t>(626) 744-8340</t>
  </si>
  <si>
    <t>whuang@cityofpasadena.net</t>
  </si>
  <si>
    <t>Harold L. Morris</t>
  </si>
  <si>
    <t>155 S. El Molino Ave, Suite 203</t>
  </si>
  <si>
    <t>Pasadena, CA 91101</t>
  </si>
  <si>
    <t>(949) 292-4123</t>
  </si>
  <si>
    <t>Variable</t>
  </si>
  <si>
    <t>Fixed</t>
  </si>
  <si>
    <t>300 S. Grand Ave., Suite 3110</t>
  </si>
  <si>
    <t>Hao Li</t>
  </si>
  <si>
    <t>(213) 239-1914</t>
  </si>
  <si>
    <t>Construction Loan - Tax-Exempt</t>
  </si>
  <si>
    <t>Construction Loan - Taxable</t>
  </si>
  <si>
    <t xml:space="preserve">SOFR </t>
  </si>
  <si>
    <t>SOFR</t>
  </si>
  <si>
    <t>11601 Wilshire Blvd, Suite 1680</t>
  </si>
  <si>
    <t>Los Angeles, CA 90025</t>
  </si>
  <si>
    <t>Steve Wylder</t>
  </si>
  <si>
    <t>(310) 315-5566</t>
  </si>
  <si>
    <t xml:space="preserve"> Tenant Improvement Allowance</t>
  </si>
  <si>
    <t>8335 Sunset Blvd., Suite 203</t>
  </si>
  <si>
    <t>West Hollywood</t>
  </si>
  <si>
    <t>Roy Faerber</t>
  </si>
  <si>
    <t>(310) 860-4550</t>
  </si>
  <si>
    <t>Federal Tax Credit Equity</t>
  </si>
  <si>
    <t>State Tax Credit Equity</t>
  </si>
  <si>
    <t>11150 W. Olympic Blvd., Suite 620</t>
  </si>
  <si>
    <t>George Russo</t>
  </si>
  <si>
    <t>(310) 575-3543</t>
  </si>
  <si>
    <t xml:space="preserve">Deferred Operating Reserve </t>
  </si>
  <si>
    <t xml:space="preserve">Deferred Developer Fee </t>
  </si>
  <si>
    <t>Deferred Dev. Fee and Costs</t>
  </si>
  <si>
    <t xml:space="preserve">Permanent Loan (Tax Exempt) </t>
  </si>
  <si>
    <t xml:space="preserve">Permanent Loan (Taxable) </t>
  </si>
  <si>
    <t>Tenant Improvement Allowance</t>
  </si>
  <si>
    <t>Owner-Hosted Broadband</t>
  </si>
  <si>
    <t>Air Conditioning</t>
  </si>
  <si>
    <t>City of Pasadena Housing Department, Pasadena, CA (effective 1/1/2026)</t>
  </si>
  <si>
    <t>Employee Burden</t>
  </si>
  <si>
    <t xml:space="preserve">Fire Sprinkler/Alarm Service </t>
  </si>
  <si>
    <t xml:space="preserve">General Administrative &amp; Business License Tax </t>
  </si>
  <si>
    <t xml:space="preserve">Other: Payment &amp; Performance Bonds </t>
  </si>
  <si>
    <t>Other: Construction Loan Interest (Soft Debt Lenders)</t>
  </si>
  <si>
    <t xml:space="preserve">Other: Perm Loan Interest (Construction Lender &amp; Soft Debt Lender) </t>
  </si>
  <si>
    <t xml:space="preserve">Other: Partnership Legal/Other </t>
  </si>
  <si>
    <t>Other: Misc. City/County/Other Fees</t>
  </si>
  <si>
    <t xml:space="preserve">Other: Organizational Costs </t>
  </si>
  <si>
    <t>Other: Utility Connections/Deposits</t>
  </si>
  <si>
    <t>Low Mixed Use</t>
  </si>
  <si>
    <t>East Colorado Specific Plan Mixed Use EC-MU-G - Unlimited Density</t>
  </si>
  <si>
    <t>72'</t>
  </si>
  <si>
    <t xml:space="preserve">Citibank - Taxable </t>
  </si>
  <si>
    <t>Above residual receipts line for cash flow</t>
  </si>
  <si>
    <t xml:space="preserve">Deferred Developer Fee Payment </t>
  </si>
  <si>
    <t xml:space="preserve">Deferred Developer Fee Balance  </t>
  </si>
  <si>
    <t>Provided</t>
  </si>
  <si>
    <t>Not Applicable</t>
  </si>
  <si>
    <t xml:space="preserve">RAAM Construction, Inc. </t>
  </si>
  <si>
    <t>140 S. Lake Avenue, Suite 217</t>
  </si>
  <si>
    <t>Richard Lara</t>
  </si>
  <si>
    <t>626-219-6580</t>
  </si>
  <si>
    <t>rlara@raamconstruction.com</t>
  </si>
  <si>
    <t xml:space="preserve">May </t>
  </si>
  <si>
    <t>Sole Member &amp; Manager of the Administrative General Partner</t>
  </si>
  <si>
    <t>Other (Owner-Hosted Broadband &amp; Bond Issuer Fees):</t>
  </si>
  <si>
    <t>APPLEGATE'S LANDING I aka APPLEGATES LANDING I,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</si>
</sst>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91">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182" fontId="19" fillId="0" borderId="0" xfId="8721" applyNumberFormat="1" applyFont="1" applyAlignment="1">
      <alignment horizontal="center"/>
    </xf>
    <xf numFmtId="0" fontId="19" fillId="0" borderId="0" xfId="569" applyAlignment="1" applyProtection="1">
      <alignment horizontal="center"/>
      <protection locked="0"/>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28" fillId="2" borderId="11" xfId="0" applyFont="1" applyFill="1" applyBorder="1" applyAlignment="1">
      <alignment horizontal="center"/>
    </xf>
    <xf numFmtId="0" fontId="0" fillId="0" borderId="11" xfId="0" applyBorder="1" applyAlignment="1">
      <alignment horizontal="center"/>
    </xf>
    <xf numFmtId="0" fontId="19" fillId="0" borderId="11" xfId="0" applyFont="1" applyBorder="1" applyAlignment="1">
      <alignment horizontal="center"/>
    </xf>
    <xf numFmtId="0" fontId="19" fillId="0" borderId="11" xfId="543" applyBorder="1" applyAlignment="1">
      <alignment horizontal="center"/>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0" borderId="3" xfId="0" applyNumberFormat="1" applyFont="1" applyBorder="1" applyAlignment="1">
      <alignment horizontal="left" vertical="top"/>
    </xf>
    <xf numFmtId="0" fontId="28" fillId="5" borderId="11" xfId="0" applyFon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8"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0" fontId="25" fillId="3" borderId="0" xfId="0" applyFont="1" applyFill="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0" fontId="19"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0" fontId="0" fillId="0" borderId="3" xfId="0"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4" xfId="0" applyFont="1" applyFill="1" applyBorder="1" applyAlignment="1" applyProtection="1">
      <alignment wrapText="1"/>
      <protection locked="0"/>
    </xf>
    <xf numFmtId="166" fontId="28" fillId="5" borderId="4"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3" fontId="0" fillId="0" borderId="6" xfId="0" applyNumberFormat="1" applyBorder="1" applyAlignment="1">
      <alignment horizontal="right"/>
    </xf>
    <xf numFmtId="168" fontId="28" fillId="5" borderId="6"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0" fontId="19"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6" fontId="28" fillId="5" borderId="6"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8" fillId="5" borderId="6" xfId="0" applyNumberFormat="1" applyFon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0" borderId="0" xfId="0" applyFont="1" applyAlignment="1">
      <alignment horizontal="left" vertical="top" wrapText="1"/>
    </xf>
    <xf numFmtId="168" fontId="0" fillId="5" borderId="6" xfId="0" applyNumberForma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4" xfId="0"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19" fillId="5" borderId="0" xfId="0" applyFont="1" applyFill="1" applyAlignment="1" applyProtection="1">
      <alignment horizontal="left" vertical="top" wrapText="1"/>
      <protection locked="0"/>
    </xf>
    <xf numFmtId="166" fontId="19"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25" fillId="3" borderId="0" xfId="0" applyFont="1" applyFill="1" applyAlignment="1">
      <alignment horizontal="center" vertical="center"/>
    </xf>
    <xf numFmtId="0" fontId="19" fillId="0" borderId="0" xfId="0" applyFont="1" applyAlignment="1">
      <alignment wrapText="1"/>
    </xf>
    <xf numFmtId="14"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0" fontId="0" fillId="0" borderId="0" xfId="0" applyAlignment="1">
      <alignment wrapText="1"/>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0" fontId="19"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9" fillId="0" borderId="4" xfId="0" applyFont="1" applyBorder="1" applyAlignment="1" applyProtection="1">
      <alignment horizontal="left"/>
      <protection locked="0"/>
    </xf>
    <xf numFmtId="0" fontId="28" fillId="0" borderId="4" xfId="0" applyFont="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43" borderId="6" xfId="0" applyFont="1" applyFill="1" applyBorder="1" applyAlignment="1" applyProtection="1">
      <alignment vertic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0" fontId="28" fillId="0" borderId="6" xfId="0" applyFont="1" applyBorder="1" applyAlignment="1">
      <alignment horizontal="left"/>
    </xf>
    <xf numFmtId="166" fontId="19" fillId="5" borderId="6" xfId="0" applyNumberFormat="1" applyFont="1" applyFill="1" applyBorder="1" applyAlignment="1" applyProtection="1">
      <alignment horizontal="left"/>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28" fillId="5" borderId="4" xfId="271" applyNumberFormat="1" applyFill="1" applyBorder="1" applyAlignment="1" applyProtection="1">
      <alignment horizontal="left"/>
      <protection locked="0"/>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0" fontId="19"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0" borderId="0" xfId="0" applyFont="1" applyAlignment="1">
      <alignment horizontal="left" wrapText="1"/>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38" fillId="5" borderId="6" xfId="0" applyFont="1"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2" fontId="0" fillId="0" borderId="6" xfId="0" applyNumberFormat="1" applyBorder="1" applyAlignment="1">
      <alignment horizontal="center"/>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8" fillId="5" borderId="4" xfId="0" applyFont="1" applyFill="1" applyBorder="1" applyAlignment="1" applyProtection="1">
      <alignment wrapText="1"/>
      <protection locked="0"/>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0" fontId="26" fillId="5" borderId="11"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8"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168" fontId="157" fillId="0" borderId="0" xfId="0" applyNumberFormat="1" applyFont="1" applyAlignment="1">
      <alignment horizontal="center" vertical="center" wrapText="1"/>
    </xf>
    <xf numFmtId="168" fontId="0" fillId="5" borderId="11" xfId="0" applyNumberFormat="1" applyFill="1" applyBorder="1" applyAlignment="1" applyProtection="1">
      <alignment horizontal="right"/>
      <protection locked="0"/>
    </xf>
    <xf numFmtId="0" fontId="0" fillId="0" borderId="9" xfId="0" applyBorder="1" applyAlignment="1">
      <alignment horizontal="left"/>
    </xf>
    <xf numFmtId="9" fontId="19" fillId="0" borderId="0" xfId="543" applyNumberFormat="1" applyAlignment="1">
      <alignment horizontal="center" vertical="center"/>
    </xf>
    <xf numFmtId="0" fontId="0" fillId="5" borderId="3" xfId="0" applyFill="1" applyBorder="1" applyAlignment="1" applyProtection="1">
      <alignment horizontal="center"/>
      <protection locked="0"/>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applyAlignment="1">
      <alignment horizontal="right"/>
    </xf>
    <xf numFmtId="0" fontId="0" fillId="0" borderId="3" xfId="0" applyBorder="1"/>
    <xf numFmtId="0" fontId="0" fillId="0" borderId="4" xfId="0" applyBorder="1"/>
    <xf numFmtId="0" fontId="0" fillId="0" borderId="5" xfId="0" applyBorder="1"/>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19" fillId="0" borderId="3" xfId="0" applyFont="1" applyBorder="1"/>
    <xf numFmtId="0" fontId="19" fillId="0" borderId="4" xfId="0" applyFont="1" applyBorder="1"/>
    <xf numFmtId="0" fontId="19" fillId="0" borderId="5" xfId="0" applyFont="1" applyBorder="1"/>
    <xf numFmtId="0" fontId="26" fillId="0" borderId="2" xfId="0" applyFont="1" applyBorder="1" applyAlignment="1">
      <alignment horizontal="right"/>
    </xf>
    <xf numFmtId="0" fontId="26" fillId="0" borderId="7" xfId="0" applyFont="1" applyBorder="1" applyAlignment="1">
      <alignment horizontal="right"/>
    </xf>
    <xf numFmtId="0" fontId="19" fillId="0" borderId="0" xfId="543" applyAlignment="1">
      <alignment horizontal="center"/>
    </xf>
    <xf numFmtId="2" fontId="19" fillId="0" borderId="0" xfId="543" applyNumberFormat="1"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19" fillId="43" borderId="4" xfId="0" applyFon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26" fillId="0" borderId="11" xfId="0"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26" fillId="0" borderId="11" xfId="0" applyFont="1" applyBorder="1" applyAlignment="1">
      <alignment horizontal="center" vertic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28"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0" xfId="0" applyFont="1" applyAlignment="1">
      <alignment horizontal="center" vertical="center"/>
    </xf>
    <xf numFmtId="0" fontId="26" fillId="0" borderId="1" xfId="0" applyFont="1" applyBorder="1" applyAlignment="1">
      <alignment horizontal="center" wrapText="1"/>
    </xf>
    <xf numFmtId="0" fontId="0" fillId="0" borderId="6" xfId="0" applyBorder="1" applyAlignment="1">
      <alignment horizontal="center"/>
    </xf>
    <xf numFmtId="0" fontId="0" fillId="0" borderId="10" xfId="0" applyBorder="1" applyAlignment="1">
      <alignment horizont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vertical="top" wrapText="1"/>
    </xf>
    <xf numFmtId="0" fontId="19" fillId="0" borderId="0" xfId="0" applyFont="1" applyAlignment="1">
      <alignment horizontal="center" vertical="top"/>
    </xf>
    <xf numFmtId="168" fontId="28" fillId="0" borderId="6" xfId="0" applyNumberFormat="1" applyFont="1" applyBorder="1" applyAlignment="1">
      <alignment horizontal="center"/>
    </xf>
    <xf numFmtId="0" fontId="26" fillId="0" borderId="9" xfId="0" applyFont="1" applyBorder="1" applyAlignment="1">
      <alignment horizontal="center"/>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0" xfId="0" applyFont="1" applyAlignment="1">
      <alignment vertical="center" wrapText="1"/>
    </xf>
    <xf numFmtId="0" fontId="19" fillId="0" borderId="0" xfId="543" applyAlignment="1">
      <alignment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20" fillId="0" borderId="0" xfId="244" applyFill="1" applyBorder="1" applyAlignment="1">
      <alignment horizontal="left" vertical="top"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9BA9D31F-7918-4518-B7CC-B9F9FF83600C}"/>
    <cellStyle name="20% - Accent1 11" xfId="8758" xr:uid="{2F735C8D-70CB-4E84-A95A-4445894745BC}"/>
    <cellStyle name="20% - Accent1 11 2" xfId="18082" xr:uid="{DBD93DBC-0695-4473-9131-FA30F07B9E5B}"/>
    <cellStyle name="20% - Accent1 12" xfId="9613" xr:uid="{743E455E-6B93-4947-B9E0-994F9A468648}"/>
    <cellStyle name="20% - Accent1 2" xfId="2" xr:uid="{00000000-0005-0000-0000-000002000000}"/>
    <cellStyle name="20% - Accent1 2 10" xfId="8797" xr:uid="{7F4BEAE6-CC35-4B07-89BD-8FC5D6B3D35B}"/>
    <cellStyle name="20% - Accent1 2 10 2" xfId="18121" xr:uid="{F60F735E-DAF7-4790-BCDA-1C210212323C}"/>
    <cellStyle name="20% - Accent1 2 11" xfId="9614" xr:uid="{CB3C30B8-632C-412A-9DC4-3738096F1CE4}"/>
    <cellStyle name="20% - Accent1 2 2" xfId="3" xr:uid="{00000000-0005-0000-0000-000003000000}"/>
    <cellStyle name="20% - Accent1 2 2 10" xfId="9615" xr:uid="{32E64B4C-44C9-4832-896D-A44C3C32AE7B}"/>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0E7B735F-DA9D-4D04-9984-FFFBDDFBDA27}"/>
    <cellStyle name="20% - Accent1 2 2 2 2 2 3" xfId="12175" xr:uid="{BF2B6C27-CBD2-4D22-BFE2-5C945FF037FE}"/>
    <cellStyle name="20% - Accent1 2 2 2 2 3" xfId="4921" xr:uid="{00000000-0005-0000-0000-000008000000}"/>
    <cellStyle name="20% - Accent1 2 2 2 2 3 2" xfId="14247" xr:uid="{F7848EDB-254B-44B0-9B5F-BEE4C7B8ED97}"/>
    <cellStyle name="20% - Accent1 2 2 2 2 4" xfId="9532" xr:uid="{D5FAB462-C5A9-4306-AA37-C118C84F9393}"/>
    <cellStyle name="20% - Accent1 2 2 2 2 4 2" xfId="18847" xr:uid="{2AF46C9E-855D-475D-B821-28C48BC17E4E}"/>
    <cellStyle name="20% - Accent1 2 2 2 2 5" xfId="10030" xr:uid="{6B5FCC14-8EBD-4AA7-9815-1CB48842E67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7A8878B3-0397-40DE-A6BB-238E786634CC}"/>
    <cellStyle name="20% - Accent1 2 2 2 3 2 3" xfId="12588" xr:uid="{9B9F0331-4778-4611-91D4-012ABD3EE29A}"/>
    <cellStyle name="20% - Accent1 2 2 2 3 3" xfId="5334" xr:uid="{00000000-0005-0000-0000-00000C000000}"/>
    <cellStyle name="20% - Accent1 2 2 2 3 3 2" xfId="14660" xr:uid="{0AB01B7A-A7A1-44E6-AF72-1A855813B111}"/>
    <cellStyle name="20% - Accent1 2 2 2 3 4" xfId="10443" xr:uid="{36048A02-E9FC-44FC-98E3-C79F48C59824}"/>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09F50AC1-FFE5-4E9A-9EF8-35A411C0DF91}"/>
    <cellStyle name="20% - Accent1 2 2 2 4 2 3" xfId="13001" xr:uid="{1C50D90D-4BC4-4514-9DE6-62ADF6A62762}"/>
    <cellStyle name="20% - Accent1 2 2 2 4 3" xfId="5747" xr:uid="{00000000-0005-0000-0000-000010000000}"/>
    <cellStyle name="20% - Accent1 2 2 2 4 3 2" xfId="15073" xr:uid="{EDE6A680-13EC-44B5-B9F5-F7FC04FCDC08}"/>
    <cellStyle name="20% - Accent1 2 2 2 4 4" xfId="10856" xr:uid="{A1D36396-210F-4EB9-84A8-6765BE0F3F98}"/>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5D6DF57F-A1BE-4B7A-81FE-A792385B971E}"/>
    <cellStyle name="20% - Accent1 2 2 2 5 2 3" xfId="13414" xr:uid="{B1C24C04-623C-4857-83B2-AEB2529F485D}"/>
    <cellStyle name="20% - Accent1 2 2 2 5 3" xfId="6160" xr:uid="{00000000-0005-0000-0000-000014000000}"/>
    <cellStyle name="20% - Accent1 2 2 2 5 3 2" xfId="15486" xr:uid="{1C08F8D7-E2FA-4EB0-A09B-6A9C11E60E67}"/>
    <cellStyle name="20% - Accent1 2 2 2 5 4" xfId="11269" xr:uid="{4CA0609A-4D1F-4EC1-AA8D-8D20D3BDE888}"/>
    <cellStyle name="20% - Accent1 2 2 2 6" xfId="2267" xr:uid="{00000000-0005-0000-0000-000015000000}"/>
    <cellStyle name="20% - Accent1 2 2 2 6 2" xfId="6573" xr:uid="{00000000-0005-0000-0000-000016000000}"/>
    <cellStyle name="20% - Accent1 2 2 2 6 2 2" xfId="15899" xr:uid="{B99339E7-74B2-4BA7-B176-927E403E681A}"/>
    <cellStyle name="20% - Accent1 2 2 2 6 3" xfId="11682" xr:uid="{C3F9E9FB-EC47-4F6E-83C0-9075C93E77A8}"/>
    <cellStyle name="20% - Accent1 2 2 2 7" xfId="4507" xr:uid="{00000000-0005-0000-0000-000017000000}"/>
    <cellStyle name="20% - Accent1 2 2 2 7 2" xfId="13833" xr:uid="{322D9E82-B5D3-4D07-9320-8258D4AD9482}"/>
    <cellStyle name="20% - Accent1 2 2 2 8" xfId="9107" xr:uid="{4168D01E-823F-4E8F-9A1D-70697AC1F241}"/>
    <cellStyle name="20% - Accent1 2 2 2 8 2" xfId="18431" xr:uid="{3EA1CC3B-D25D-4E0C-80C2-A333E44D1501}"/>
    <cellStyle name="20% - Accent1 2 2 2 9" xfId="9616" xr:uid="{63B00F9D-A28F-4ED4-A204-6EA3E3F4044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131A8EE0-DBA0-42B0-86E6-81A51F229D16}"/>
    <cellStyle name="20% - Accent1 2 2 3 2 3" xfId="12174" xr:uid="{FA2C212C-28C4-4DC4-94EA-0D170263ED84}"/>
    <cellStyle name="20% - Accent1 2 2 3 3" xfId="4920" xr:uid="{00000000-0005-0000-0000-00001B000000}"/>
    <cellStyle name="20% - Accent1 2 2 3 3 2" xfId="14246" xr:uid="{AFDA784F-F3B7-4089-B8C8-8C9CD1AB236B}"/>
    <cellStyle name="20% - Accent1 2 2 3 4" xfId="9325" xr:uid="{DE19910B-698B-4F31-B25F-3533B35DDA95}"/>
    <cellStyle name="20% - Accent1 2 2 3 4 2" xfId="18640" xr:uid="{1006E223-5A5A-4A69-B761-F5C03DEEDE13}"/>
    <cellStyle name="20% - Accent1 2 2 3 5" xfId="10029" xr:uid="{CAD353F7-8DC8-4EA3-9DA0-C74B3717672C}"/>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41BBD951-ACAC-46F8-BCBB-4A3F19B1CAEC}"/>
    <cellStyle name="20% - Accent1 2 2 4 2 3" xfId="12587" xr:uid="{73887734-DCC0-4CC2-87A5-67D28932B95D}"/>
    <cellStyle name="20% - Accent1 2 2 4 3" xfId="5333" xr:uid="{00000000-0005-0000-0000-00001F000000}"/>
    <cellStyle name="20% - Accent1 2 2 4 3 2" xfId="14659" xr:uid="{1EA58F87-A0F7-4A01-BD34-BCFD23731F60}"/>
    <cellStyle name="20% - Accent1 2 2 4 4" xfId="10442" xr:uid="{C37A12B6-5228-40EE-B517-9D8ED90DD0B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72DB5FED-C7DB-4010-AF58-3B348B712027}"/>
    <cellStyle name="20% - Accent1 2 2 5 2 3" xfId="13000" xr:uid="{4C7AC76F-C652-457D-87E4-83638362DF67}"/>
    <cellStyle name="20% - Accent1 2 2 5 3" xfId="5746" xr:uid="{00000000-0005-0000-0000-000023000000}"/>
    <cellStyle name="20% - Accent1 2 2 5 3 2" xfId="15072" xr:uid="{0ABD8852-5F9F-4391-97F8-D079A4228409}"/>
    <cellStyle name="20% - Accent1 2 2 5 4" xfId="10855" xr:uid="{FC72E99B-9AD9-435D-901A-743330EB79F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A8054E2C-BDAC-43A9-A5C9-B6E76C973010}"/>
    <cellStyle name="20% - Accent1 2 2 6 2 3" xfId="13413" xr:uid="{9364DC93-7DAF-487B-B79A-270920EF342C}"/>
    <cellStyle name="20% - Accent1 2 2 6 3" xfId="6159" xr:uid="{00000000-0005-0000-0000-000027000000}"/>
    <cellStyle name="20% - Accent1 2 2 6 3 2" xfId="15485" xr:uid="{2C08FF88-64B7-4939-94EE-B5E39F542418}"/>
    <cellStyle name="20% - Accent1 2 2 6 4" xfId="11268" xr:uid="{6760B4B8-BE85-4B75-8852-5E3329E81D35}"/>
    <cellStyle name="20% - Accent1 2 2 7" xfId="2266" xr:uid="{00000000-0005-0000-0000-000028000000}"/>
    <cellStyle name="20% - Accent1 2 2 7 2" xfId="6572" xr:uid="{00000000-0005-0000-0000-000029000000}"/>
    <cellStyle name="20% - Accent1 2 2 7 2 2" xfId="15898" xr:uid="{4EA5CB9C-E03C-484C-A9DF-A36D38EE11C4}"/>
    <cellStyle name="20% - Accent1 2 2 7 3" xfId="11681" xr:uid="{10B03857-1240-4110-B921-5028F77EDBDD}"/>
    <cellStyle name="20% - Accent1 2 2 8" xfId="4506" xr:uid="{00000000-0005-0000-0000-00002A000000}"/>
    <cellStyle name="20% - Accent1 2 2 8 2" xfId="13832" xr:uid="{6FFFC437-124C-44AB-95AC-3CC9BA83CD87}"/>
    <cellStyle name="20% - Accent1 2 2 9" xfId="8900" xr:uid="{7D7E3EAF-DF6A-403F-8C20-66BB9757790F}"/>
    <cellStyle name="20% - Accent1 2 2 9 2" xfId="18224" xr:uid="{C8B8B293-22B6-462B-84BB-53C74C49983C}"/>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956776E1-BC5A-4E4C-9AD2-8B9A92026A07}"/>
    <cellStyle name="20% - Accent1 2 3 2 2 3" xfId="12176" xr:uid="{009B5233-D8BA-4CE4-9586-2C4475D1EED9}"/>
    <cellStyle name="20% - Accent1 2 3 2 3" xfId="4922" xr:uid="{00000000-0005-0000-0000-00002F000000}"/>
    <cellStyle name="20% - Accent1 2 3 2 3 2" xfId="14248" xr:uid="{F53DBB8E-66AE-4677-A74E-113F4E2F6F77}"/>
    <cellStyle name="20% - Accent1 2 3 2 4" xfId="9429" xr:uid="{CCD4BD61-3143-497B-A316-8024A8762A6C}"/>
    <cellStyle name="20% - Accent1 2 3 2 4 2" xfId="18744" xr:uid="{0C57D822-ECEB-4FE8-AA50-1C8D2279AFB2}"/>
    <cellStyle name="20% - Accent1 2 3 2 5" xfId="10031" xr:uid="{7C3C7D4C-0B67-46B5-9D73-6787B2A042B1}"/>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1BE7AB7B-7B7A-4B99-B5EC-FF4F3F448AA5}"/>
    <cellStyle name="20% - Accent1 2 3 3 2 3" xfId="12589" xr:uid="{6CEE3AB6-349E-4C43-89A6-0F15E8FE85B4}"/>
    <cellStyle name="20% - Accent1 2 3 3 3" xfId="5335" xr:uid="{00000000-0005-0000-0000-000033000000}"/>
    <cellStyle name="20% - Accent1 2 3 3 3 2" xfId="14661" xr:uid="{AC4A044B-38ED-40B6-8852-50B06DE60E6E}"/>
    <cellStyle name="20% - Accent1 2 3 3 4" xfId="10444" xr:uid="{8813A3B0-A9A6-4661-84B7-F751530834DA}"/>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A3B1AAD5-E739-4503-B7F8-3D0A6802E157}"/>
    <cellStyle name="20% - Accent1 2 3 4 2 3" xfId="13002" xr:uid="{D7389560-8DD9-4DA1-ADB6-1AA38E32BFF1}"/>
    <cellStyle name="20% - Accent1 2 3 4 3" xfId="5748" xr:uid="{00000000-0005-0000-0000-000037000000}"/>
    <cellStyle name="20% - Accent1 2 3 4 3 2" xfId="15074" xr:uid="{FFF44EE8-49FC-4EC7-9047-153B3A07720B}"/>
    <cellStyle name="20% - Accent1 2 3 4 4" xfId="10857" xr:uid="{69AA02D5-2203-4417-BCED-28795C62B2A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0F5D267F-EC14-4E91-87E4-B100F57E4924}"/>
    <cellStyle name="20% - Accent1 2 3 5 2 3" xfId="13415" xr:uid="{5FACCBC2-80F3-45A4-89D6-05CFC0E6F7D3}"/>
    <cellStyle name="20% - Accent1 2 3 5 3" xfId="6161" xr:uid="{00000000-0005-0000-0000-00003B000000}"/>
    <cellStyle name="20% - Accent1 2 3 5 3 2" xfId="15487" xr:uid="{FDA4563D-15FB-43D0-9386-7C1BFCBA2FB0}"/>
    <cellStyle name="20% - Accent1 2 3 5 4" xfId="11270" xr:uid="{E600728B-6E83-486F-A067-507D8D57AB9A}"/>
    <cellStyle name="20% - Accent1 2 3 6" xfId="2268" xr:uid="{00000000-0005-0000-0000-00003C000000}"/>
    <cellStyle name="20% - Accent1 2 3 6 2" xfId="6574" xr:uid="{00000000-0005-0000-0000-00003D000000}"/>
    <cellStyle name="20% - Accent1 2 3 6 2 2" xfId="15900" xr:uid="{20D730A5-9093-4280-8892-2632B15467FF}"/>
    <cellStyle name="20% - Accent1 2 3 6 3" xfId="11683" xr:uid="{E1081A97-6D01-4BF9-8AE5-330BA1630BE7}"/>
    <cellStyle name="20% - Accent1 2 3 7" xfId="4508" xr:uid="{00000000-0005-0000-0000-00003E000000}"/>
    <cellStyle name="20% - Accent1 2 3 7 2" xfId="13834" xr:uid="{47C33F5E-E4C0-44E1-9F7A-4CB42CB9B607}"/>
    <cellStyle name="20% - Accent1 2 3 8" xfId="9004" xr:uid="{14A9C135-BB7B-44DD-97E1-B6B10773DEE2}"/>
    <cellStyle name="20% - Accent1 2 3 8 2" xfId="18328" xr:uid="{39496BB4-9E4B-4513-9F87-96B4DAE75572}"/>
    <cellStyle name="20% - Accent1 2 3 9" xfId="9617" xr:uid="{9F786D07-AEAB-4800-A336-FED27221797E}"/>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A3B3DA2D-F214-44CF-BD26-331B7E8330C4}"/>
    <cellStyle name="20% - Accent1 2 4 2 3" xfId="12173" xr:uid="{B94DB90B-6722-4B57-A8BE-1821CAE289D1}"/>
    <cellStyle name="20% - Accent1 2 4 3" xfId="4919" xr:uid="{00000000-0005-0000-0000-000042000000}"/>
    <cellStyle name="20% - Accent1 2 4 3 2" xfId="14245" xr:uid="{16E8EC7E-6918-4544-9E2B-33F1798EEB5F}"/>
    <cellStyle name="20% - Accent1 2 4 4" xfId="9221" xr:uid="{11532E3F-E59C-4FF7-9F45-291A17A69435}"/>
    <cellStyle name="20% - Accent1 2 4 4 2" xfId="18537" xr:uid="{D0AE8B3B-A6E8-453B-9FF2-F86DB3FC3708}"/>
    <cellStyle name="20% - Accent1 2 4 5" xfId="10028" xr:uid="{10305032-A256-4471-91BD-45372F875D6A}"/>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CC237500-FE3B-423A-92B4-1ADA07D59343}"/>
    <cellStyle name="20% - Accent1 2 5 2 3" xfId="12586" xr:uid="{F62E0659-1D35-4774-BB2A-983BAAADD7DA}"/>
    <cellStyle name="20% - Accent1 2 5 3" xfId="5332" xr:uid="{00000000-0005-0000-0000-000046000000}"/>
    <cellStyle name="20% - Accent1 2 5 3 2" xfId="14658" xr:uid="{541C257F-B447-41B3-98AF-99BEE8C6B1C5}"/>
    <cellStyle name="20% - Accent1 2 5 4" xfId="10441" xr:uid="{922B3E43-5EC1-43E9-8B31-26984E8B5984}"/>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5BEE4B1-88B9-4186-9E23-E06421B4F9E4}"/>
    <cellStyle name="20% - Accent1 2 6 2 3" xfId="12999" xr:uid="{F9754050-8C76-4D53-B4F6-5AFD8A5DC98A}"/>
    <cellStyle name="20% - Accent1 2 6 3" xfId="5745" xr:uid="{00000000-0005-0000-0000-00004A000000}"/>
    <cellStyle name="20% - Accent1 2 6 3 2" xfId="15071" xr:uid="{2106FEF0-CCD2-4B3E-B358-9A2EEF0B9407}"/>
    <cellStyle name="20% - Accent1 2 6 4" xfId="10854" xr:uid="{EEAAE9E3-1B9A-44DC-8383-46F4F715435D}"/>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E884F07D-3B13-4FD6-B4FD-ABB02B8D7464}"/>
    <cellStyle name="20% - Accent1 2 7 2 3" xfId="13412" xr:uid="{CBBDF8E0-492C-45E9-9CC7-74BAC391660A}"/>
    <cellStyle name="20% - Accent1 2 7 3" xfId="6158" xr:uid="{00000000-0005-0000-0000-00004E000000}"/>
    <cellStyle name="20% - Accent1 2 7 3 2" xfId="15484" xr:uid="{AB24A665-6077-41D4-9777-ECEDE18E2D4B}"/>
    <cellStyle name="20% - Accent1 2 7 4" xfId="11267" xr:uid="{8C3F5445-20C1-48B1-800B-5E6D72D9E73A}"/>
    <cellStyle name="20% - Accent1 2 8" xfId="2265" xr:uid="{00000000-0005-0000-0000-00004F000000}"/>
    <cellStyle name="20% - Accent1 2 8 2" xfId="6571" xr:uid="{00000000-0005-0000-0000-000050000000}"/>
    <cellStyle name="20% - Accent1 2 8 2 2" xfId="15897" xr:uid="{F8871621-AC47-49A8-BA98-3C300E4B206B}"/>
    <cellStyle name="20% - Accent1 2 8 3" xfId="11680" xr:uid="{9348833C-0EB0-4F67-B646-0D65FBEEC113}"/>
    <cellStyle name="20% - Accent1 2 9" xfId="4505" xr:uid="{00000000-0005-0000-0000-000051000000}"/>
    <cellStyle name="20% - Accent1 2 9 2" xfId="13831" xr:uid="{76DF5B6A-2C82-406B-B8FC-E2EF1ACEB820}"/>
    <cellStyle name="20% - Accent1 3" xfId="6" xr:uid="{00000000-0005-0000-0000-000052000000}"/>
    <cellStyle name="20% - Accent1 3 10" xfId="9618" xr:uid="{215357AC-ECC3-41D6-A58D-2255063A06C8}"/>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634727F5-54AB-49E3-AF00-8B30B5B42852}"/>
    <cellStyle name="20% - Accent1 3 2 2 2 3" xfId="12178" xr:uid="{4E703ECD-1D1E-416E-96BC-3BCC257F45BC}"/>
    <cellStyle name="20% - Accent1 3 2 2 3" xfId="4924" xr:uid="{00000000-0005-0000-0000-000057000000}"/>
    <cellStyle name="20% - Accent1 3 2 2 3 2" xfId="14250" xr:uid="{6E15D282-CA4F-41A4-A5D1-EB3DE706B01D}"/>
    <cellStyle name="20% - Accent1 3 2 2 4" xfId="9493" xr:uid="{FCEFE71D-2A04-4899-B62A-B225DBF7F0BF}"/>
    <cellStyle name="20% - Accent1 3 2 2 4 2" xfId="18808" xr:uid="{CE24E55F-3500-4F39-AA30-BBEE4260B509}"/>
    <cellStyle name="20% - Accent1 3 2 2 5" xfId="10033" xr:uid="{F7880EB4-49B2-4D15-9E70-6F58E8A717BB}"/>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6E63314A-537C-4C39-A5CA-EAFDE30ED3F6}"/>
    <cellStyle name="20% - Accent1 3 2 3 2 3" xfId="12591" xr:uid="{FC330840-5F8C-4FF5-B288-34FCF8753F2F}"/>
    <cellStyle name="20% - Accent1 3 2 3 3" xfId="5337" xr:uid="{00000000-0005-0000-0000-00005B000000}"/>
    <cellStyle name="20% - Accent1 3 2 3 3 2" xfId="14663" xr:uid="{83508FC2-AA5C-496A-A6B6-DC06DC8AB593}"/>
    <cellStyle name="20% - Accent1 3 2 3 4" xfId="10446" xr:uid="{A53AC268-B516-4121-9405-5D7F22D1B342}"/>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2EC230BB-7D43-4243-8C40-F18A489A8DC2}"/>
    <cellStyle name="20% - Accent1 3 2 4 2 3" xfId="13004" xr:uid="{24AD7FA1-5404-48BD-8A4C-02B910908979}"/>
    <cellStyle name="20% - Accent1 3 2 4 3" xfId="5750" xr:uid="{00000000-0005-0000-0000-00005F000000}"/>
    <cellStyle name="20% - Accent1 3 2 4 3 2" xfId="15076" xr:uid="{0C1CC94E-F207-4103-A811-395C61C5E7B5}"/>
    <cellStyle name="20% - Accent1 3 2 4 4" xfId="10859" xr:uid="{1581DBDE-B014-4528-8655-ACC4461F8E54}"/>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9F6C9565-25A6-44B6-9012-FDFF94BBDB01}"/>
    <cellStyle name="20% - Accent1 3 2 5 2 3" xfId="13417" xr:uid="{0705ABE6-3AEC-4F04-BFE1-DC925DC89E1E}"/>
    <cellStyle name="20% - Accent1 3 2 5 3" xfId="6163" xr:uid="{00000000-0005-0000-0000-000063000000}"/>
    <cellStyle name="20% - Accent1 3 2 5 3 2" xfId="15489" xr:uid="{642A9E17-9B80-4FC2-94BE-9A007EDB6B60}"/>
    <cellStyle name="20% - Accent1 3 2 5 4" xfId="11272" xr:uid="{FF7AAA18-D35F-4BD2-B299-B8BE83F4981C}"/>
    <cellStyle name="20% - Accent1 3 2 6" xfId="2270" xr:uid="{00000000-0005-0000-0000-000064000000}"/>
    <cellStyle name="20% - Accent1 3 2 6 2" xfId="6576" xr:uid="{00000000-0005-0000-0000-000065000000}"/>
    <cellStyle name="20% - Accent1 3 2 6 2 2" xfId="15902" xr:uid="{0AB712E4-4658-4E12-8343-5B3B98B200C1}"/>
    <cellStyle name="20% - Accent1 3 2 6 3" xfId="11685" xr:uid="{C8FE4646-5DF6-4A80-A792-E3D30E0DD1D8}"/>
    <cellStyle name="20% - Accent1 3 2 7" xfId="4510" xr:uid="{00000000-0005-0000-0000-000066000000}"/>
    <cellStyle name="20% - Accent1 3 2 7 2" xfId="13836" xr:uid="{E48F351D-61AC-4673-BA56-BC5F22404053}"/>
    <cellStyle name="20% - Accent1 3 2 8" xfId="9068" xr:uid="{354460C9-AD38-4FCD-882B-4DFB81DE5890}"/>
    <cellStyle name="20% - Accent1 3 2 8 2" xfId="18392" xr:uid="{0DAEFABD-3DA9-4C51-8BAA-75194D40AC60}"/>
    <cellStyle name="20% - Accent1 3 2 9" xfId="9619" xr:uid="{0215863D-FA0B-4AD6-8ECD-862CD8217EC9}"/>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F94BE910-8071-4260-A303-F01604923E4F}"/>
    <cellStyle name="20% - Accent1 3 3 2 3" xfId="12177" xr:uid="{86B3F0F5-CE79-4E6B-9E30-16634746D1A1}"/>
    <cellStyle name="20% - Accent1 3 3 3" xfId="4923" xr:uid="{00000000-0005-0000-0000-00006A000000}"/>
    <cellStyle name="20% - Accent1 3 3 3 2" xfId="14249" xr:uid="{C1BC6C17-10F9-4802-AF50-54B1B0E8C0E6}"/>
    <cellStyle name="20% - Accent1 3 3 4" xfId="9286" xr:uid="{B5220C4B-EBE7-4AD0-9A24-7F16FA378184}"/>
    <cellStyle name="20% - Accent1 3 3 4 2" xfId="18601" xr:uid="{605E351E-9DAB-4C6A-BB43-F3AE25BAE53C}"/>
    <cellStyle name="20% - Accent1 3 3 5" xfId="10032" xr:uid="{2C449734-EEF1-4031-B995-542324D6FBD3}"/>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AD43C9BF-1A4F-40B3-91D5-3EDF8E270FDA}"/>
    <cellStyle name="20% - Accent1 3 4 2 3" xfId="12590" xr:uid="{8E771C18-5DFD-4764-BAE8-3FD5ED901F71}"/>
    <cellStyle name="20% - Accent1 3 4 3" xfId="5336" xr:uid="{00000000-0005-0000-0000-00006E000000}"/>
    <cellStyle name="20% - Accent1 3 4 3 2" xfId="14662" xr:uid="{A1B69EC1-EBD9-4DD9-B103-5A806359533C}"/>
    <cellStyle name="20% - Accent1 3 4 4" xfId="10445" xr:uid="{65818E02-8DC1-4FE5-AB0B-03DB03F3BB2F}"/>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66E92F5F-A9F4-4DD6-A4FD-2C5768A4A902}"/>
    <cellStyle name="20% - Accent1 3 5 2 3" xfId="13003" xr:uid="{77665DAB-BD4D-483B-AAAB-D4A21C5B914C}"/>
    <cellStyle name="20% - Accent1 3 5 3" xfId="5749" xr:uid="{00000000-0005-0000-0000-000072000000}"/>
    <cellStyle name="20% - Accent1 3 5 3 2" xfId="15075" xr:uid="{8EDB810E-6ABB-4587-ADE1-9051B952AD76}"/>
    <cellStyle name="20% - Accent1 3 5 4" xfId="10858" xr:uid="{A4C92885-E487-4285-8ED1-51B594C78ADB}"/>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6132145D-2F98-4D47-B5D9-CBD2017D99D6}"/>
    <cellStyle name="20% - Accent1 3 6 2 3" xfId="13416" xr:uid="{13E58FF2-F2CF-4FDF-A7C0-01EA9470FAC2}"/>
    <cellStyle name="20% - Accent1 3 6 3" xfId="6162" xr:uid="{00000000-0005-0000-0000-000076000000}"/>
    <cellStyle name="20% - Accent1 3 6 3 2" xfId="15488" xr:uid="{5F81B490-CB57-43AD-9DD3-514E3B2B177F}"/>
    <cellStyle name="20% - Accent1 3 6 4" xfId="11271" xr:uid="{B8B59AAB-4A2A-4F12-969A-60D38DAA4000}"/>
    <cellStyle name="20% - Accent1 3 7" xfId="2269" xr:uid="{00000000-0005-0000-0000-000077000000}"/>
    <cellStyle name="20% - Accent1 3 7 2" xfId="6575" xr:uid="{00000000-0005-0000-0000-000078000000}"/>
    <cellStyle name="20% - Accent1 3 7 2 2" xfId="15901" xr:uid="{3361EA80-817E-41AC-B61D-6BFC960F5E28}"/>
    <cellStyle name="20% - Accent1 3 7 3" xfId="11684" xr:uid="{EE332A7C-4D5B-42A0-8A74-5039B0078331}"/>
    <cellStyle name="20% - Accent1 3 8" xfId="4509" xr:uid="{00000000-0005-0000-0000-000079000000}"/>
    <cellStyle name="20% - Accent1 3 8 2" xfId="13835" xr:uid="{3D6703D7-6A84-4601-B057-105CF3EB4B60}"/>
    <cellStyle name="20% - Accent1 3 9" xfId="8861" xr:uid="{C1B75176-75E3-4E31-86A7-851E7FD67A9E}"/>
    <cellStyle name="20% - Accent1 3 9 2" xfId="18185" xr:uid="{95E82877-906E-4DB8-A152-D2F4A7312C62}"/>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A8107812-5946-4317-B066-7B234C1845FB}"/>
    <cellStyle name="20% - Accent1 4 2 2 3" xfId="12179" xr:uid="{BF89DCF7-0428-4483-BEA3-00E776B92A59}"/>
    <cellStyle name="20% - Accent1 4 2 3" xfId="4925" xr:uid="{00000000-0005-0000-0000-00007E000000}"/>
    <cellStyle name="20% - Accent1 4 2 3 2" xfId="14251" xr:uid="{13C19D4C-2076-4864-A1E0-0564AFE69A27}"/>
    <cellStyle name="20% - Accent1 4 2 4" xfId="9372" xr:uid="{E6B08341-6F7D-4580-9BCF-4BFC252FAE31}"/>
    <cellStyle name="20% - Accent1 4 2 4 2" xfId="18687" xr:uid="{CD3587EB-18B0-4CC3-A1AF-DF5E9C8DC7F2}"/>
    <cellStyle name="20% - Accent1 4 2 5" xfId="10034" xr:uid="{D6F9456E-4440-4906-8D54-C455B2E7CE6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1A8083D9-8AE1-4AC6-AC73-C982BC7B299F}"/>
    <cellStyle name="20% - Accent1 4 3 2 3" xfId="12592" xr:uid="{3483EC41-5B9A-454C-BA54-A9B5FC495C36}"/>
    <cellStyle name="20% - Accent1 4 3 3" xfId="5338" xr:uid="{00000000-0005-0000-0000-000082000000}"/>
    <cellStyle name="20% - Accent1 4 3 3 2" xfId="14664" xr:uid="{90DC4FB2-F340-4335-BEE0-E11B88A751B5}"/>
    <cellStyle name="20% - Accent1 4 3 4" xfId="10447" xr:uid="{37F3625E-9D1F-45CC-A1E1-8DF155FFC9BE}"/>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33DAB9E0-0818-456F-B2EB-29A7F381830B}"/>
    <cellStyle name="20% - Accent1 4 4 2 3" xfId="13005" xr:uid="{FE60B136-0FEA-4AAE-AF44-48B158784D43}"/>
    <cellStyle name="20% - Accent1 4 4 3" xfId="5751" xr:uid="{00000000-0005-0000-0000-000086000000}"/>
    <cellStyle name="20% - Accent1 4 4 3 2" xfId="15077" xr:uid="{ED8B90C9-6BBD-4E97-91D6-F7CEE0A8624E}"/>
    <cellStyle name="20% - Accent1 4 4 4" xfId="10860" xr:uid="{E948D4F5-BE0B-48D2-84BF-F6646E8E3391}"/>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9BC7683C-E725-472E-AC89-58AA45D9CD2C}"/>
    <cellStyle name="20% - Accent1 4 5 2 3" xfId="13418" xr:uid="{24E2B749-02E6-416E-AA9A-8892A61957E6}"/>
    <cellStyle name="20% - Accent1 4 5 3" xfId="6164" xr:uid="{00000000-0005-0000-0000-00008A000000}"/>
    <cellStyle name="20% - Accent1 4 5 3 2" xfId="15490" xr:uid="{8CF34E79-F988-4B1D-8DD9-8851D004D144}"/>
    <cellStyle name="20% - Accent1 4 5 4" xfId="11273" xr:uid="{FD908584-991C-4590-A6B7-947B79444B56}"/>
    <cellStyle name="20% - Accent1 4 6" xfId="2271" xr:uid="{00000000-0005-0000-0000-00008B000000}"/>
    <cellStyle name="20% - Accent1 4 6 2" xfId="6577" xr:uid="{00000000-0005-0000-0000-00008C000000}"/>
    <cellStyle name="20% - Accent1 4 6 2 2" xfId="15903" xr:uid="{6B346959-3A24-4032-AE83-57ACDF2F18D2}"/>
    <cellStyle name="20% - Accent1 4 6 3" xfId="11686" xr:uid="{DDDEF059-5E68-4500-8BA8-27418894F230}"/>
    <cellStyle name="20% - Accent1 4 7" xfId="4511" xr:uid="{00000000-0005-0000-0000-00008D000000}"/>
    <cellStyle name="20% - Accent1 4 7 2" xfId="13837" xr:uid="{F4FF0BC6-693D-4A13-A0B3-F8186EC509CD}"/>
    <cellStyle name="20% - Accent1 4 8" xfId="8947" xr:uid="{1FCDBFE2-CC86-42DD-AD9B-D3EAF476002E}"/>
    <cellStyle name="20% - Accent1 4 8 2" xfId="18271" xr:uid="{7483155A-E9A1-49A0-A18F-2FDBC0848879}"/>
    <cellStyle name="20% - Accent1 4 9" xfId="9620" xr:uid="{25E4639F-DBB9-4B74-979E-1B6F737FABD5}"/>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48F56DC6-6114-4654-8D69-5C67E936ACEF}"/>
    <cellStyle name="20% - Accent1 5 2 3" xfId="12172" xr:uid="{C93B503F-CC83-4D26-8124-E88168C272C1}"/>
    <cellStyle name="20% - Accent1 5 3" xfId="4918" xr:uid="{00000000-0005-0000-0000-000091000000}"/>
    <cellStyle name="20% - Accent1 5 3 2" xfId="14244" xr:uid="{1D0D292B-49AB-4DB4-A4DA-F590390683C4}"/>
    <cellStyle name="20% - Accent1 5 4" xfId="9180" xr:uid="{D0AEF57E-25E3-47C5-B910-DC1A0019F498}"/>
    <cellStyle name="20% - Accent1 5 4 2" xfId="18498" xr:uid="{4B48D025-00F0-4AAC-8EF1-CADFB1CD8FD4}"/>
    <cellStyle name="20% - Accent1 5 5" xfId="10027" xr:uid="{AAF023F2-67FF-424D-BFDB-9B60CD7E9CC3}"/>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B0C061CB-4F38-44DC-95D1-850234D5D7AD}"/>
    <cellStyle name="20% - Accent1 6 2 3" xfId="12585" xr:uid="{D2FCA27A-C36E-4D79-9C1C-1E57F930A63B}"/>
    <cellStyle name="20% - Accent1 6 3" xfId="5331" xr:uid="{00000000-0005-0000-0000-000095000000}"/>
    <cellStyle name="20% - Accent1 6 3 2" xfId="14657" xr:uid="{55DD1806-738D-424B-B55F-50079E68055C}"/>
    <cellStyle name="20% - Accent1 6 4" xfId="10440" xr:uid="{2AC45EAB-3A9E-4140-890D-2AB6A3DCE6C9}"/>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2C818AC4-D328-4CEA-AE73-457B3422B376}"/>
    <cellStyle name="20% - Accent1 7 2 3" xfId="12998" xr:uid="{B282D4AC-EE37-4744-9AB4-FCEE272E94A9}"/>
    <cellStyle name="20% - Accent1 7 3" xfId="5744" xr:uid="{00000000-0005-0000-0000-000099000000}"/>
    <cellStyle name="20% - Accent1 7 3 2" xfId="15070" xr:uid="{FBECE1EA-ECB0-4D27-8461-82E7646B5E81}"/>
    <cellStyle name="20% - Accent1 7 4" xfId="10853" xr:uid="{EF10D7F1-2E85-48B0-9C0F-AD74A3000B99}"/>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84D2A5C4-622E-4317-9EB3-C3307851EA9E}"/>
    <cellStyle name="20% - Accent1 8 2 3" xfId="13411" xr:uid="{8EE3CF55-8B8F-4E09-92DF-9E681C73DEC8}"/>
    <cellStyle name="20% - Accent1 8 3" xfId="6157" xr:uid="{00000000-0005-0000-0000-00009D000000}"/>
    <cellStyle name="20% - Accent1 8 3 2" xfId="15483" xr:uid="{BF42E128-608F-4867-A9B2-F1A2DBD6EFD4}"/>
    <cellStyle name="20% - Accent1 8 4" xfId="11266" xr:uid="{1EE2E9B0-A577-4DFD-9402-44FCC68BE0C4}"/>
    <cellStyle name="20% - Accent1 9" xfId="2264" xr:uid="{00000000-0005-0000-0000-00009E000000}"/>
    <cellStyle name="20% - Accent1 9 2" xfId="6570" xr:uid="{00000000-0005-0000-0000-00009F000000}"/>
    <cellStyle name="20% - Accent1 9 2 2" xfId="15896" xr:uid="{FBB98033-B2A4-48EC-8BF2-7E95F02C5903}"/>
    <cellStyle name="20% - Accent1 9 3" xfId="11679" xr:uid="{D5081A72-161A-49E2-BB2B-14AE903C2CB1}"/>
    <cellStyle name="20% - Accent2" xfId="9" builtinId="34" customBuiltin="1"/>
    <cellStyle name="20% - Accent2 10" xfId="4512" xr:uid="{00000000-0005-0000-0000-0000A1000000}"/>
    <cellStyle name="20% - Accent2 10 2" xfId="13838" xr:uid="{6F93F988-6387-43D6-B753-5F0064F0A0F0}"/>
    <cellStyle name="20% - Accent2 11" xfId="8760" xr:uid="{2F9D8AF1-C115-467C-ADFB-3BF13039D076}"/>
    <cellStyle name="20% - Accent2 11 2" xfId="18084" xr:uid="{1CB78804-AD97-4EEB-9C7B-3BFB2A55B7DC}"/>
    <cellStyle name="20% - Accent2 12" xfId="9621" xr:uid="{4D359BC1-EA33-4B15-B70B-9DBC1CF6705F}"/>
    <cellStyle name="20% - Accent2 2" xfId="10" xr:uid="{00000000-0005-0000-0000-0000A2000000}"/>
    <cellStyle name="20% - Accent2 2 10" xfId="8793" xr:uid="{AA7C3473-3A75-4F75-9E25-D7658C57F3A0}"/>
    <cellStyle name="20% - Accent2 2 10 2" xfId="18117" xr:uid="{BD198DBC-2E3A-433D-9EB9-E6673DBF6B0D}"/>
    <cellStyle name="20% - Accent2 2 11" xfId="9622" xr:uid="{7AD14C94-F7DD-49DD-B20A-EDAE4FB28A9F}"/>
    <cellStyle name="20% - Accent2 2 2" xfId="11" xr:uid="{00000000-0005-0000-0000-0000A3000000}"/>
    <cellStyle name="20% - Accent2 2 2 10" xfId="9623" xr:uid="{999DCAFD-8351-4DA5-A5F7-FCC0BBFE995C}"/>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F1D55859-3E10-4719-9267-F0456980B17B}"/>
    <cellStyle name="20% - Accent2 2 2 2 2 2 3" xfId="12183" xr:uid="{2472C78F-DB06-4CA0-9411-5FE7E9998E82}"/>
    <cellStyle name="20% - Accent2 2 2 2 2 3" xfId="4929" xr:uid="{00000000-0005-0000-0000-0000A8000000}"/>
    <cellStyle name="20% - Accent2 2 2 2 2 3 2" xfId="14255" xr:uid="{7CB61BBA-EEC1-4774-8905-77850EAD6984}"/>
    <cellStyle name="20% - Accent2 2 2 2 2 4" xfId="9528" xr:uid="{C8BEA541-FD8B-4449-95AA-43E1904F35BB}"/>
    <cellStyle name="20% - Accent2 2 2 2 2 4 2" xfId="18843" xr:uid="{50982A8C-F196-4960-91FA-A6065A412D7E}"/>
    <cellStyle name="20% - Accent2 2 2 2 2 5" xfId="10038" xr:uid="{7C913A91-6C32-41B7-9816-EBFC29CA6062}"/>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84E3DE74-E460-46CB-BC21-6364661EC6A0}"/>
    <cellStyle name="20% - Accent2 2 2 2 3 2 3" xfId="12596" xr:uid="{4F0382EF-493C-403B-93FB-C8D9C5140736}"/>
    <cellStyle name="20% - Accent2 2 2 2 3 3" xfId="5342" xr:uid="{00000000-0005-0000-0000-0000AC000000}"/>
    <cellStyle name="20% - Accent2 2 2 2 3 3 2" xfId="14668" xr:uid="{D7200714-2E27-40DF-BBEA-46BFFE8A6516}"/>
    <cellStyle name="20% - Accent2 2 2 2 3 4" xfId="10451" xr:uid="{26E5248E-D041-4D8A-9B41-6DD0A7E6E875}"/>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E70AD899-2262-4239-B6CB-57765219D396}"/>
    <cellStyle name="20% - Accent2 2 2 2 4 2 3" xfId="13009" xr:uid="{AACB97F1-FDCF-459D-B2CC-319F7794E4AD}"/>
    <cellStyle name="20% - Accent2 2 2 2 4 3" xfId="5755" xr:uid="{00000000-0005-0000-0000-0000B0000000}"/>
    <cellStyle name="20% - Accent2 2 2 2 4 3 2" xfId="15081" xr:uid="{EA4A23BE-F8E9-4EB6-9F73-7EB433871635}"/>
    <cellStyle name="20% - Accent2 2 2 2 4 4" xfId="10864" xr:uid="{59BD2744-061E-4996-B937-B590997B0A1C}"/>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54B6E5B1-1A1E-4E6E-8F43-B86E0C17C4A8}"/>
    <cellStyle name="20% - Accent2 2 2 2 5 2 3" xfId="13422" xr:uid="{84FD0F55-6C8A-44E0-83B8-C23C96C0BACD}"/>
    <cellStyle name="20% - Accent2 2 2 2 5 3" xfId="6168" xr:uid="{00000000-0005-0000-0000-0000B4000000}"/>
    <cellStyle name="20% - Accent2 2 2 2 5 3 2" xfId="15494" xr:uid="{74232EF1-FBBD-48DF-ADD3-46A3217E90B5}"/>
    <cellStyle name="20% - Accent2 2 2 2 5 4" xfId="11277" xr:uid="{F7434979-768E-4A3F-B309-77B43B4E9B7B}"/>
    <cellStyle name="20% - Accent2 2 2 2 6" xfId="2275" xr:uid="{00000000-0005-0000-0000-0000B5000000}"/>
    <cellStyle name="20% - Accent2 2 2 2 6 2" xfId="6581" xr:uid="{00000000-0005-0000-0000-0000B6000000}"/>
    <cellStyle name="20% - Accent2 2 2 2 6 2 2" xfId="15907" xr:uid="{56B9C276-14A4-44B4-BDC4-C752675CB41B}"/>
    <cellStyle name="20% - Accent2 2 2 2 6 3" xfId="11690" xr:uid="{C9B9BF52-0A90-4448-831D-F7B99099030C}"/>
    <cellStyle name="20% - Accent2 2 2 2 7" xfId="4515" xr:uid="{00000000-0005-0000-0000-0000B7000000}"/>
    <cellStyle name="20% - Accent2 2 2 2 7 2" xfId="13841" xr:uid="{EA68E0E0-1031-4F5E-9B0A-7825F0E8AF0F}"/>
    <cellStyle name="20% - Accent2 2 2 2 8" xfId="9103" xr:uid="{91DB80A1-3464-4086-B948-71B6A26537C4}"/>
    <cellStyle name="20% - Accent2 2 2 2 8 2" xfId="18427" xr:uid="{9011AC0A-9E1F-4AA1-A7C8-9755D762BA9D}"/>
    <cellStyle name="20% - Accent2 2 2 2 9" xfId="9624" xr:uid="{3618EA5F-5CED-44EE-907B-EAF0804D5E69}"/>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BCCCFF55-2958-4681-99EA-21E3324D98D8}"/>
    <cellStyle name="20% - Accent2 2 2 3 2 3" xfId="12182" xr:uid="{1343E0F9-E202-47B3-903D-218342847D14}"/>
    <cellStyle name="20% - Accent2 2 2 3 3" xfId="4928" xr:uid="{00000000-0005-0000-0000-0000BB000000}"/>
    <cellStyle name="20% - Accent2 2 2 3 3 2" xfId="14254" xr:uid="{862B50E9-17DC-4780-BBBE-2FC047FFBF03}"/>
    <cellStyle name="20% - Accent2 2 2 3 4" xfId="9321" xr:uid="{32B21C3A-E360-4F19-B469-1116F045A0F3}"/>
    <cellStyle name="20% - Accent2 2 2 3 4 2" xfId="18636" xr:uid="{ED877DF7-62D3-4C47-9C89-449F5A5690D5}"/>
    <cellStyle name="20% - Accent2 2 2 3 5" xfId="10037" xr:uid="{30A6C436-0E04-4721-9449-33BF3FA754EA}"/>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FD5E803B-A450-435F-AA9E-A2D2F470832B}"/>
    <cellStyle name="20% - Accent2 2 2 4 2 3" xfId="12595" xr:uid="{7A3B1851-E7C7-4C26-824C-C45D338AA4AA}"/>
    <cellStyle name="20% - Accent2 2 2 4 3" xfId="5341" xr:uid="{00000000-0005-0000-0000-0000BF000000}"/>
    <cellStyle name="20% - Accent2 2 2 4 3 2" xfId="14667" xr:uid="{60C57580-18D3-4A46-8EDF-C4FAFA0EE5C1}"/>
    <cellStyle name="20% - Accent2 2 2 4 4" xfId="10450" xr:uid="{31254286-1475-4175-BC84-126C1715513F}"/>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D84F1A55-6F71-4823-9B0A-4F50297B29EA}"/>
    <cellStyle name="20% - Accent2 2 2 5 2 3" xfId="13008" xr:uid="{3B7345AA-F4BB-4F2B-92D3-7CE7A4EE3C81}"/>
    <cellStyle name="20% - Accent2 2 2 5 3" xfId="5754" xr:uid="{00000000-0005-0000-0000-0000C3000000}"/>
    <cellStyle name="20% - Accent2 2 2 5 3 2" xfId="15080" xr:uid="{7CA8E114-498D-46A0-AC0E-269F1D68DB17}"/>
    <cellStyle name="20% - Accent2 2 2 5 4" xfId="10863" xr:uid="{812AE4F3-F3DA-4418-AE32-AAD622205869}"/>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BB996D33-9BDD-4E9C-BF1A-CD793132D628}"/>
    <cellStyle name="20% - Accent2 2 2 6 2 3" xfId="13421" xr:uid="{13C887B3-3D72-4F36-A691-DA0D2859FDF0}"/>
    <cellStyle name="20% - Accent2 2 2 6 3" xfId="6167" xr:uid="{00000000-0005-0000-0000-0000C7000000}"/>
    <cellStyle name="20% - Accent2 2 2 6 3 2" xfId="15493" xr:uid="{3D717E99-9034-4C7B-83A5-37221EDD0E75}"/>
    <cellStyle name="20% - Accent2 2 2 6 4" xfId="11276" xr:uid="{38DD55F5-A130-451C-8CAD-C0CF575B17CB}"/>
    <cellStyle name="20% - Accent2 2 2 7" xfId="2274" xr:uid="{00000000-0005-0000-0000-0000C8000000}"/>
    <cellStyle name="20% - Accent2 2 2 7 2" xfId="6580" xr:uid="{00000000-0005-0000-0000-0000C9000000}"/>
    <cellStyle name="20% - Accent2 2 2 7 2 2" xfId="15906" xr:uid="{A823576A-728C-4A74-8872-EE1C9CF0404C}"/>
    <cellStyle name="20% - Accent2 2 2 7 3" xfId="11689" xr:uid="{6B28C997-BBE1-408D-97FF-3AFA91872661}"/>
    <cellStyle name="20% - Accent2 2 2 8" xfId="4514" xr:uid="{00000000-0005-0000-0000-0000CA000000}"/>
    <cellStyle name="20% - Accent2 2 2 8 2" xfId="13840" xr:uid="{3AD08EBA-D337-4F61-A7AF-1D95DCE53032}"/>
    <cellStyle name="20% - Accent2 2 2 9" xfId="8896" xr:uid="{7CDAA0F1-5BE6-4749-AD4D-5424E0EA26D8}"/>
    <cellStyle name="20% - Accent2 2 2 9 2" xfId="18220" xr:uid="{425B3E9C-1818-44CE-A5C0-ABD00C8EE00D}"/>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48F140FF-D264-46A9-974F-C1F62637B551}"/>
    <cellStyle name="20% - Accent2 2 3 2 2 3" xfId="12184" xr:uid="{8CE4C317-B3B7-4A06-B8F3-BD21971B1A2A}"/>
    <cellStyle name="20% - Accent2 2 3 2 3" xfId="4930" xr:uid="{00000000-0005-0000-0000-0000CF000000}"/>
    <cellStyle name="20% - Accent2 2 3 2 3 2" xfId="14256" xr:uid="{50A5D66B-E07D-4F56-AA20-D276E61C8053}"/>
    <cellStyle name="20% - Accent2 2 3 2 4" xfId="9425" xr:uid="{35BECFF4-0F5A-4F6E-AE6E-354891135B4F}"/>
    <cellStyle name="20% - Accent2 2 3 2 4 2" xfId="18740" xr:uid="{709A2347-A37E-42B1-8426-22DEA8587E5B}"/>
    <cellStyle name="20% - Accent2 2 3 2 5" xfId="10039" xr:uid="{AE69313F-9638-4669-9198-C671BFA6B0FD}"/>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E11E511A-69D5-45BE-855B-0687F74CA733}"/>
    <cellStyle name="20% - Accent2 2 3 3 2 3" xfId="12597" xr:uid="{5C1FFE1F-FE3B-4F45-8091-4ED877A590D8}"/>
    <cellStyle name="20% - Accent2 2 3 3 3" xfId="5343" xr:uid="{00000000-0005-0000-0000-0000D3000000}"/>
    <cellStyle name="20% - Accent2 2 3 3 3 2" xfId="14669" xr:uid="{34779947-638C-4FB5-B977-B4AC96B24653}"/>
    <cellStyle name="20% - Accent2 2 3 3 4" xfId="10452" xr:uid="{5E9F6993-8223-413C-9D53-3D3EBB8DB36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593F77DD-D5B5-420F-8495-E9D5F6283B38}"/>
    <cellStyle name="20% - Accent2 2 3 4 2 3" xfId="13010" xr:uid="{8B2CCC07-DC44-4CBE-8417-29D507F4E138}"/>
    <cellStyle name="20% - Accent2 2 3 4 3" xfId="5756" xr:uid="{00000000-0005-0000-0000-0000D7000000}"/>
    <cellStyle name="20% - Accent2 2 3 4 3 2" xfId="15082" xr:uid="{C2E72540-1D72-40F1-BFCB-C20137A1684E}"/>
    <cellStyle name="20% - Accent2 2 3 4 4" xfId="10865" xr:uid="{AF0E101A-04FA-4661-965B-EA4602BE71E4}"/>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3DF046F2-5490-4F68-8166-3E8C1B7D392E}"/>
    <cellStyle name="20% - Accent2 2 3 5 2 3" xfId="13423" xr:uid="{708F8240-688B-464E-9AE7-5C46D36745F7}"/>
    <cellStyle name="20% - Accent2 2 3 5 3" xfId="6169" xr:uid="{00000000-0005-0000-0000-0000DB000000}"/>
    <cellStyle name="20% - Accent2 2 3 5 3 2" xfId="15495" xr:uid="{72B42716-9F44-4D39-9570-31F54957B451}"/>
    <cellStyle name="20% - Accent2 2 3 5 4" xfId="11278" xr:uid="{F7F7BD19-E374-42D8-91C8-407266FBE8C7}"/>
    <cellStyle name="20% - Accent2 2 3 6" xfId="2276" xr:uid="{00000000-0005-0000-0000-0000DC000000}"/>
    <cellStyle name="20% - Accent2 2 3 6 2" xfId="6582" xr:uid="{00000000-0005-0000-0000-0000DD000000}"/>
    <cellStyle name="20% - Accent2 2 3 6 2 2" xfId="15908" xr:uid="{9ED37BF9-511B-4B83-9CE4-BAD6F46DF45B}"/>
    <cellStyle name="20% - Accent2 2 3 6 3" xfId="11691" xr:uid="{89A16D4F-D13F-484F-8B13-540AE85BBFC1}"/>
    <cellStyle name="20% - Accent2 2 3 7" xfId="4516" xr:uid="{00000000-0005-0000-0000-0000DE000000}"/>
    <cellStyle name="20% - Accent2 2 3 7 2" xfId="13842" xr:uid="{6C41DF11-3BA3-40BF-964F-EB33C9963B24}"/>
    <cellStyle name="20% - Accent2 2 3 8" xfId="9000" xr:uid="{133DFC5C-F2FF-49E9-82EE-ABAA9C815393}"/>
    <cellStyle name="20% - Accent2 2 3 8 2" xfId="18324" xr:uid="{518692D6-BFE7-4B4C-8DC0-782C13F74756}"/>
    <cellStyle name="20% - Accent2 2 3 9" xfId="9625" xr:uid="{B63852E8-7586-49B8-9B80-C770AE2F8050}"/>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4D8FC292-6081-4B88-9804-4C42E74D4BAE}"/>
    <cellStyle name="20% - Accent2 2 4 2 3" xfId="12181" xr:uid="{494E737B-F8B8-43DF-A3F0-B7135218B5C5}"/>
    <cellStyle name="20% - Accent2 2 4 3" xfId="4927" xr:uid="{00000000-0005-0000-0000-0000E2000000}"/>
    <cellStyle name="20% - Accent2 2 4 3 2" xfId="14253" xr:uid="{B04A7403-D327-47C2-84DA-7F6CDF748042}"/>
    <cellStyle name="20% - Accent2 2 4 4" xfId="9217" xr:uid="{28DDC3F5-BA57-40F8-8D06-6CFF141CF9A1}"/>
    <cellStyle name="20% - Accent2 2 4 4 2" xfId="18533" xr:uid="{6C982835-4648-4BEF-ABD9-99083C1DAB8F}"/>
    <cellStyle name="20% - Accent2 2 4 5" xfId="10036" xr:uid="{B3020113-FB57-4180-BA55-7223EC10621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1688DA93-7093-4FAE-BBE5-7DCDAAD85624}"/>
    <cellStyle name="20% - Accent2 2 5 2 3" xfId="12594" xr:uid="{CF7238AD-16C5-4DCC-81BF-EA306ED03CC6}"/>
    <cellStyle name="20% - Accent2 2 5 3" xfId="5340" xr:uid="{00000000-0005-0000-0000-0000E6000000}"/>
    <cellStyle name="20% - Accent2 2 5 3 2" xfId="14666" xr:uid="{40DFC52F-916D-473B-A784-DBB122612122}"/>
    <cellStyle name="20% - Accent2 2 5 4" xfId="10449" xr:uid="{7A9A3B0C-23AE-4C9A-8305-8B07ACCD7DF8}"/>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6F9A2B65-A6F9-4AC0-978D-466F5D79FFCD}"/>
    <cellStyle name="20% - Accent2 2 6 2 3" xfId="13007" xr:uid="{48412FF8-8C09-4851-8E6B-7A0999C9D4C8}"/>
    <cellStyle name="20% - Accent2 2 6 3" xfId="5753" xr:uid="{00000000-0005-0000-0000-0000EA000000}"/>
    <cellStyle name="20% - Accent2 2 6 3 2" xfId="15079" xr:uid="{C03FEF86-4EEA-487B-8B7C-BCA0CB0D7E09}"/>
    <cellStyle name="20% - Accent2 2 6 4" xfId="10862" xr:uid="{AF12AB33-B9D8-439B-8F92-8CBE6331040C}"/>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B77A1091-2E9B-46E0-B6C4-E7B707A19CBC}"/>
    <cellStyle name="20% - Accent2 2 7 2 3" xfId="13420" xr:uid="{BADF855E-04E8-47D3-83D3-CF849A2123E6}"/>
    <cellStyle name="20% - Accent2 2 7 3" xfId="6166" xr:uid="{00000000-0005-0000-0000-0000EE000000}"/>
    <cellStyle name="20% - Accent2 2 7 3 2" xfId="15492" xr:uid="{4BF3AD1C-7C36-4452-9D41-065E93E6A9CA}"/>
    <cellStyle name="20% - Accent2 2 7 4" xfId="11275" xr:uid="{B883CD0E-B4BB-48FF-83B0-8968776343CD}"/>
    <cellStyle name="20% - Accent2 2 8" xfId="2273" xr:uid="{00000000-0005-0000-0000-0000EF000000}"/>
    <cellStyle name="20% - Accent2 2 8 2" xfId="6579" xr:uid="{00000000-0005-0000-0000-0000F0000000}"/>
    <cellStyle name="20% - Accent2 2 8 2 2" xfId="15905" xr:uid="{BC897F56-D198-4427-AFFC-E134CF33946B}"/>
    <cellStyle name="20% - Accent2 2 8 3" xfId="11688" xr:uid="{4D681E60-DB17-49FF-BC1D-7F5B31A8276A}"/>
    <cellStyle name="20% - Accent2 2 9" xfId="4513" xr:uid="{00000000-0005-0000-0000-0000F1000000}"/>
    <cellStyle name="20% - Accent2 2 9 2" xfId="13839" xr:uid="{532ABCA8-74A5-47F2-9F6F-2155F36BD779}"/>
    <cellStyle name="20% - Accent2 3" xfId="14" xr:uid="{00000000-0005-0000-0000-0000F2000000}"/>
    <cellStyle name="20% - Accent2 3 10" xfId="9626" xr:uid="{206A6723-0BB9-4365-8EC0-28CB4E75B55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5966EF16-A9AB-4A25-B0B1-939CA769A1D3}"/>
    <cellStyle name="20% - Accent2 3 2 2 2 3" xfId="12186" xr:uid="{F25129A8-3D9C-4FDB-A92D-395C10258055}"/>
    <cellStyle name="20% - Accent2 3 2 2 3" xfId="4932" xr:uid="{00000000-0005-0000-0000-0000F7000000}"/>
    <cellStyle name="20% - Accent2 3 2 2 3 2" xfId="14258" xr:uid="{A65D3E88-FC0B-4DAF-B360-D797A4CB0E8C}"/>
    <cellStyle name="20% - Accent2 3 2 2 4" xfId="9495" xr:uid="{9F5A6FE7-BBC9-4787-8EC4-2112F4D5A0EA}"/>
    <cellStyle name="20% - Accent2 3 2 2 4 2" xfId="18810" xr:uid="{65D341B4-90D0-4B18-8DB8-29DA30E6142E}"/>
    <cellStyle name="20% - Accent2 3 2 2 5" xfId="10041" xr:uid="{189DD48D-69B1-43B9-BC9C-E51CFC3E6202}"/>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0BE4908B-880D-437C-A291-290E404BE5A9}"/>
    <cellStyle name="20% - Accent2 3 2 3 2 3" xfId="12599" xr:uid="{7376C07A-C262-4C20-AB3F-BB7D5FBD7520}"/>
    <cellStyle name="20% - Accent2 3 2 3 3" xfId="5345" xr:uid="{00000000-0005-0000-0000-0000FB000000}"/>
    <cellStyle name="20% - Accent2 3 2 3 3 2" xfId="14671" xr:uid="{F0FA473F-BFE8-4EDB-B7A3-4B62AB0FB64E}"/>
    <cellStyle name="20% - Accent2 3 2 3 4" xfId="10454" xr:uid="{50FED757-7577-4872-8E29-2A929F289AD6}"/>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1380F2BF-E2D8-42A0-8650-1484F46FD400}"/>
    <cellStyle name="20% - Accent2 3 2 4 2 3" xfId="13012" xr:uid="{6E58022E-60BB-4E2B-B210-1152187CC195}"/>
    <cellStyle name="20% - Accent2 3 2 4 3" xfId="5758" xr:uid="{00000000-0005-0000-0000-0000FF000000}"/>
    <cellStyle name="20% - Accent2 3 2 4 3 2" xfId="15084" xr:uid="{19E798F4-9B72-478E-A98F-E29CB7FFD724}"/>
    <cellStyle name="20% - Accent2 3 2 4 4" xfId="10867" xr:uid="{48FA01D1-344C-4D16-AA07-846C92EFAFD1}"/>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6260A40E-324B-4E55-9A14-71BAC7EF4669}"/>
    <cellStyle name="20% - Accent2 3 2 5 2 3" xfId="13425" xr:uid="{580D5580-0B6D-43A3-9EC0-ADFC53FA86C1}"/>
    <cellStyle name="20% - Accent2 3 2 5 3" xfId="6171" xr:uid="{00000000-0005-0000-0000-000003010000}"/>
    <cellStyle name="20% - Accent2 3 2 5 3 2" xfId="15497" xr:uid="{3E278BCA-594D-4325-A454-0257A245E68A}"/>
    <cellStyle name="20% - Accent2 3 2 5 4" xfId="11280" xr:uid="{6D067CC8-E886-4A5C-B3B8-5BBF32395EA2}"/>
    <cellStyle name="20% - Accent2 3 2 6" xfId="2278" xr:uid="{00000000-0005-0000-0000-000004010000}"/>
    <cellStyle name="20% - Accent2 3 2 6 2" xfId="6584" xr:uid="{00000000-0005-0000-0000-000005010000}"/>
    <cellStyle name="20% - Accent2 3 2 6 2 2" xfId="15910" xr:uid="{C167DB53-866C-4638-831B-F78D62CEB794}"/>
    <cellStyle name="20% - Accent2 3 2 6 3" xfId="11693" xr:uid="{A714DB72-EBA4-4882-AD95-88BFEAF54701}"/>
    <cellStyle name="20% - Accent2 3 2 7" xfId="4518" xr:uid="{00000000-0005-0000-0000-000006010000}"/>
    <cellStyle name="20% - Accent2 3 2 7 2" xfId="13844" xr:uid="{9447305D-09D2-4FFF-83A8-A8077F53F54C}"/>
    <cellStyle name="20% - Accent2 3 2 8" xfId="9070" xr:uid="{8A9168BA-490F-4E57-83EA-22187D24153F}"/>
    <cellStyle name="20% - Accent2 3 2 8 2" xfId="18394" xr:uid="{F2CDB324-18EB-49FE-9EEE-EB595EDFD55E}"/>
    <cellStyle name="20% - Accent2 3 2 9" xfId="9627" xr:uid="{DD883C64-1BFE-443E-9E14-14DE7176D2E6}"/>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DBE858B5-075B-43F2-9A29-C13BE20A4D38}"/>
    <cellStyle name="20% - Accent2 3 3 2 3" xfId="12185" xr:uid="{4B9359A3-BBF0-4867-87A4-2E8B65B96E46}"/>
    <cellStyle name="20% - Accent2 3 3 3" xfId="4931" xr:uid="{00000000-0005-0000-0000-00000A010000}"/>
    <cellStyle name="20% - Accent2 3 3 3 2" xfId="14257" xr:uid="{BA10FA8B-3776-4C39-8093-C2690F0BE44A}"/>
    <cellStyle name="20% - Accent2 3 3 4" xfId="9288" xr:uid="{FCD70616-ECAD-4A0B-889F-4698E1AD889E}"/>
    <cellStyle name="20% - Accent2 3 3 4 2" xfId="18603" xr:uid="{A7694FBD-23C4-41BA-86E5-2B72C79ACBDA}"/>
    <cellStyle name="20% - Accent2 3 3 5" xfId="10040" xr:uid="{1B7395D2-B6BB-48EF-85F3-E4C8225817B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B9E91D98-23D2-4170-A900-117414C558FB}"/>
    <cellStyle name="20% - Accent2 3 4 2 3" xfId="12598" xr:uid="{C9092C44-25FD-43EA-9ABE-CC46D30930C1}"/>
    <cellStyle name="20% - Accent2 3 4 3" xfId="5344" xr:uid="{00000000-0005-0000-0000-00000E010000}"/>
    <cellStyle name="20% - Accent2 3 4 3 2" xfId="14670" xr:uid="{239F6B3C-9549-4C7F-BA43-339FBF361D5F}"/>
    <cellStyle name="20% - Accent2 3 4 4" xfId="10453" xr:uid="{A7DAA397-0CED-4C96-A644-69122CBB0CF7}"/>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F24DC658-1FC5-4AE5-AA8E-C782842C3146}"/>
    <cellStyle name="20% - Accent2 3 5 2 3" xfId="13011" xr:uid="{E40F6F23-E319-4C7F-91E6-8F2B2C93CC9E}"/>
    <cellStyle name="20% - Accent2 3 5 3" xfId="5757" xr:uid="{00000000-0005-0000-0000-000012010000}"/>
    <cellStyle name="20% - Accent2 3 5 3 2" xfId="15083" xr:uid="{99E0F0C2-1AEC-4121-8AD3-B7D8D779E5D4}"/>
    <cellStyle name="20% - Accent2 3 5 4" xfId="10866" xr:uid="{C38F6908-5ADA-4C07-9AD9-5E61F0F3BB55}"/>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96BF6C45-9105-4C81-BC7D-7D1ABB838EB7}"/>
    <cellStyle name="20% - Accent2 3 6 2 3" xfId="13424" xr:uid="{D6CCCDFA-8AB3-40AA-9EDE-514121FF46DF}"/>
    <cellStyle name="20% - Accent2 3 6 3" xfId="6170" xr:uid="{00000000-0005-0000-0000-000016010000}"/>
    <cellStyle name="20% - Accent2 3 6 3 2" xfId="15496" xr:uid="{8120E3D3-942F-4A33-B885-75EA1639DBFE}"/>
    <cellStyle name="20% - Accent2 3 6 4" xfId="11279" xr:uid="{7F7461B1-BE8D-47BC-B035-9C3426B85ED8}"/>
    <cellStyle name="20% - Accent2 3 7" xfId="2277" xr:uid="{00000000-0005-0000-0000-000017010000}"/>
    <cellStyle name="20% - Accent2 3 7 2" xfId="6583" xr:uid="{00000000-0005-0000-0000-000018010000}"/>
    <cellStyle name="20% - Accent2 3 7 2 2" xfId="15909" xr:uid="{E0633383-02B9-44AE-B66F-7951258A01DE}"/>
    <cellStyle name="20% - Accent2 3 7 3" xfId="11692" xr:uid="{033951FE-D5C1-418A-8615-416127959DF8}"/>
    <cellStyle name="20% - Accent2 3 8" xfId="4517" xr:uid="{00000000-0005-0000-0000-000019010000}"/>
    <cellStyle name="20% - Accent2 3 8 2" xfId="13843" xr:uid="{E7FF9DA4-34D8-4456-A21A-45D1FD1572B9}"/>
    <cellStyle name="20% - Accent2 3 9" xfId="8863" xr:uid="{C6A258FB-33DC-4171-B9DD-C29513CA80FD}"/>
    <cellStyle name="20% - Accent2 3 9 2" xfId="18187" xr:uid="{5E44BBEA-6A28-475C-AFEF-057918A42A92}"/>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DDB987AA-03F0-43DB-BE43-2A0FC02A0EDF}"/>
    <cellStyle name="20% - Accent2 4 2 2 3" xfId="12187" xr:uid="{A1EA6199-F6D5-44B0-83B2-F3672F701E26}"/>
    <cellStyle name="20% - Accent2 4 2 3" xfId="4933" xr:uid="{00000000-0005-0000-0000-00001E010000}"/>
    <cellStyle name="20% - Accent2 4 2 3 2" xfId="14259" xr:uid="{6B3E2C02-2888-427A-B0B7-7A9B05331AA8}"/>
    <cellStyle name="20% - Accent2 4 2 4" xfId="9374" xr:uid="{26FD7A0E-8D04-4AF7-B092-2B22A78F0A97}"/>
    <cellStyle name="20% - Accent2 4 2 4 2" xfId="18689" xr:uid="{4A653EB0-AE57-42C6-AAFD-B780CDFAA53A}"/>
    <cellStyle name="20% - Accent2 4 2 5" xfId="10042" xr:uid="{768A1A84-E04C-48E6-945A-ADC5CED1302C}"/>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76473AD6-20FB-40B4-B8CD-D245E604FE9E}"/>
    <cellStyle name="20% - Accent2 4 3 2 3" xfId="12600" xr:uid="{E187C62C-77AA-46E3-9732-C69987275D69}"/>
    <cellStyle name="20% - Accent2 4 3 3" xfId="5346" xr:uid="{00000000-0005-0000-0000-000022010000}"/>
    <cellStyle name="20% - Accent2 4 3 3 2" xfId="14672" xr:uid="{3218F5A8-CAB1-4985-8F02-497D9BA43C39}"/>
    <cellStyle name="20% - Accent2 4 3 4" xfId="10455" xr:uid="{AA9C0B13-EBAF-404C-9EC8-DDCCE353764A}"/>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9903ECF0-9B13-43D4-ABB1-28BD627CBB06}"/>
    <cellStyle name="20% - Accent2 4 4 2 3" xfId="13013" xr:uid="{FC7BCBBE-FE6C-49F9-82BF-5B58CAD80CA0}"/>
    <cellStyle name="20% - Accent2 4 4 3" xfId="5759" xr:uid="{00000000-0005-0000-0000-000026010000}"/>
    <cellStyle name="20% - Accent2 4 4 3 2" xfId="15085" xr:uid="{7FCD81D6-1AC3-42B8-81EA-96E6C2FDA255}"/>
    <cellStyle name="20% - Accent2 4 4 4" xfId="10868" xr:uid="{BA492AC6-B026-4531-9EB8-7FF49527BBD7}"/>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58E3E59B-4474-4F67-9FFB-D1CA31FDBA36}"/>
    <cellStyle name="20% - Accent2 4 5 2 3" xfId="13426" xr:uid="{6AD4B217-C8EA-4091-948C-D39DA228AD06}"/>
    <cellStyle name="20% - Accent2 4 5 3" xfId="6172" xr:uid="{00000000-0005-0000-0000-00002A010000}"/>
    <cellStyle name="20% - Accent2 4 5 3 2" xfId="15498" xr:uid="{BAFC3276-8F09-4B58-A91A-D28EA05B4DFC}"/>
    <cellStyle name="20% - Accent2 4 5 4" xfId="11281" xr:uid="{29F132D1-BA6C-41F2-A8AE-95073516E359}"/>
    <cellStyle name="20% - Accent2 4 6" xfId="2279" xr:uid="{00000000-0005-0000-0000-00002B010000}"/>
    <cellStyle name="20% - Accent2 4 6 2" xfId="6585" xr:uid="{00000000-0005-0000-0000-00002C010000}"/>
    <cellStyle name="20% - Accent2 4 6 2 2" xfId="15911" xr:uid="{E1E05657-6877-4633-B046-36F9208093CD}"/>
    <cellStyle name="20% - Accent2 4 6 3" xfId="11694" xr:uid="{B212BD63-3B10-4AF6-B2F0-4510BD96B4E7}"/>
    <cellStyle name="20% - Accent2 4 7" xfId="4519" xr:uid="{00000000-0005-0000-0000-00002D010000}"/>
    <cellStyle name="20% - Accent2 4 7 2" xfId="13845" xr:uid="{397E4DE5-0CC1-4E6C-B5F9-84700FD8506C}"/>
    <cellStyle name="20% - Accent2 4 8" xfId="8949" xr:uid="{084C22A9-B904-4AFE-A752-AC1DC2CA76B8}"/>
    <cellStyle name="20% - Accent2 4 8 2" xfId="18273" xr:uid="{F5C3C5DA-97A9-440D-AC2F-81B83705813E}"/>
    <cellStyle name="20% - Accent2 4 9" xfId="9628" xr:uid="{C3184CFF-6E22-41AF-B9AC-2411B173061B}"/>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84F84F28-63D7-4366-B499-66D92018B312}"/>
    <cellStyle name="20% - Accent2 5 2 3" xfId="12180" xr:uid="{C7C37C85-CD31-4932-A1C1-095936AA82B3}"/>
    <cellStyle name="20% - Accent2 5 3" xfId="4926" xr:uid="{00000000-0005-0000-0000-000031010000}"/>
    <cellStyle name="20% - Accent2 5 3 2" xfId="14252" xr:uid="{B2267131-7944-4B59-92D7-8435F84356E2}"/>
    <cellStyle name="20% - Accent2 5 4" xfId="9182" xr:uid="{F822E263-B2A4-41B5-BBF9-FCE1A7A30601}"/>
    <cellStyle name="20% - Accent2 5 4 2" xfId="18500" xr:uid="{453C5EC6-BFBB-4D3E-93FF-846F33FB6B00}"/>
    <cellStyle name="20% - Accent2 5 5" xfId="10035" xr:uid="{846E9EBC-0199-4AC6-AF73-108E1D70022C}"/>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11838785-38D5-4128-AAA1-7235FBA74A52}"/>
    <cellStyle name="20% - Accent2 6 2 3" xfId="12593" xr:uid="{01A99307-4D11-4AC3-ADAD-269249EFC125}"/>
    <cellStyle name="20% - Accent2 6 3" xfId="5339" xr:uid="{00000000-0005-0000-0000-000035010000}"/>
    <cellStyle name="20% - Accent2 6 3 2" xfId="14665" xr:uid="{E6A52B0B-6E66-4847-9F3C-105ACCA242DF}"/>
    <cellStyle name="20% - Accent2 6 4" xfId="10448" xr:uid="{38CF89A3-FEFC-409E-B07B-0B9502CC5486}"/>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E06ADB2B-1D6D-43F0-A773-597FEB88E8F8}"/>
    <cellStyle name="20% - Accent2 7 2 3" xfId="13006" xr:uid="{4F1335BC-F4AF-474D-ABC7-2D347C64B8F7}"/>
    <cellStyle name="20% - Accent2 7 3" xfId="5752" xr:uid="{00000000-0005-0000-0000-000039010000}"/>
    <cellStyle name="20% - Accent2 7 3 2" xfId="15078" xr:uid="{8EFD8B2C-B852-487C-8314-ACD2569D979D}"/>
    <cellStyle name="20% - Accent2 7 4" xfId="10861" xr:uid="{D1F7469F-525D-4338-B0DA-5DD3A32B8762}"/>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088E38D6-26F0-4066-860A-0B3484D0B49B}"/>
    <cellStyle name="20% - Accent2 8 2 3" xfId="13419" xr:uid="{76BA531E-697B-4921-889A-E25697108D85}"/>
    <cellStyle name="20% - Accent2 8 3" xfId="6165" xr:uid="{00000000-0005-0000-0000-00003D010000}"/>
    <cellStyle name="20% - Accent2 8 3 2" xfId="15491" xr:uid="{6487BBEE-DFA4-4B24-B920-F9E57695B6A1}"/>
    <cellStyle name="20% - Accent2 8 4" xfId="11274" xr:uid="{567A3412-50B7-428A-97BC-773E2D1ABEB7}"/>
    <cellStyle name="20% - Accent2 9" xfId="2272" xr:uid="{00000000-0005-0000-0000-00003E010000}"/>
    <cellStyle name="20% - Accent2 9 2" xfId="6578" xr:uid="{00000000-0005-0000-0000-00003F010000}"/>
    <cellStyle name="20% - Accent2 9 2 2" xfId="15904" xr:uid="{BAD16D03-2CC6-465F-83F8-62C5C639E389}"/>
    <cellStyle name="20% - Accent2 9 3" xfId="11687" xr:uid="{853FDB75-8346-4685-BD8C-F8706573F7FD}"/>
    <cellStyle name="20% - Accent3" xfId="17" builtinId="38" customBuiltin="1"/>
    <cellStyle name="20% - Accent3 10" xfId="4520" xr:uid="{00000000-0005-0000-0000-000041010000}"/>
    <cellStyle name="20% - Accent3 10 2" xfId="13846" xr:uid="{8FA804B4-B34C-4250-BBC4-F7E1BA93F2DF}"/>
    <cellStyle name="20% - Accent3 11" xfId="8762" xr:uid="{49ACF776-43E7-4BB5-82F5-A8A4FEBC45F8}"/>
    <cellStyle name="20% - Accent3 11 2" xfId="18086" xr:uid="{2ED8742A-EBDF-4518-8411-113FBC9809FE}"/>
    <cellStyle name="20% - Accent3 12" xfId="9629" xr:uid="{F55FEDDC-B55E-4DFE-B9B2-8433AF4E111E}"/>
    <cellStyle name="20% - Accent3 2" xfId="18" xr:uid="{00000000-0005-0000-0000-000042010000}"/>
    <cellStyle name="20% - Accent3 2 10" xfId="8792" xr:uid="{65E5762F-047C-4860-B47E-71363924E2A5}"/>
    <cellStyle name="20% - Accent3 2 10 2" xfId="18116" xr:uid="{B11FCE1C-5CBE-4D04-87DB-BBC92C3DBA5F}"/>
    <cellStyle name="20% - Accent3 2 11" xfId="9630" xr:uid="{98068055-ADC8-485F-AC91-B755122DEA04}"/>
    <cellStyle name="20% - Accent3 2 2" xfId="19" xr:uid="{00000000-0005-0000-0000-000043010000}"/>
    <cellStyle name="20% - Accent3 2 2 10" xfId="9631" xr:uid="{B86BAABB-EF3F-49DA-A574-3019F9DCFB1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F47775BB-9024-4F76-BFA8-41DE0B085D7B}"/>
    <cellStyle name="20% - Accent3 2 2 2 2 2 3" xfId="12191" xr:uid="{FF8AB3D8-4E47-4630-8A01-D7D24BA6136A}"/>
    <cellStyle name="20% - Accent3 2 2 2 2 3" xfId="4937" xr:uid="{00000000-0005-0000-0000-000048010000}"/>
    <cellStyle name="20% - Accent3 2 2 2 2 3 2" xfId="14263" xr:uid="{664295DB-4773-4D9D-85F6-B16B7BF24A41}"/>
    <cellStyle name="20% - Accent3 2 2 2 2 4" xfId="9527" xr:uid="{B82F9F3C-4714-4F10-BEB2-F90FC0563F53}"/>
    <cellStyle name="20% - Accent3 2 2 2 2 4 2" xfId="18842" xr:uid="{B73829E1-3EC3-427D-AE12-4EA9B75DD51A}"/>
    <cellStyle name="20% - Accent3 2 2 2 2 5" xfId="10046" xr:uid="{065A23DE-F6BD-4E41-AB87-3F9320437A2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685E0B5D-959E-4B5C-A2E3-0654F7735EE1}"/>
    <cellStyle name="20% - Accent3 2 2 2 3 2 3" xfId="12604" xr:uid="{05BCAC12-4EAB-44F1-9ED8-5520C6A8105D}"/>
    <cellStyle name="20% - Accent3 2 2 2 3 3" xfId="5350" xr:uid="{00000000-0005-0000-0000-00004C010000}"/>
    <cellStyle name="20% - Accent3 2 2 2 3 3 2" xfId="14676" xr:uid="{C6ADC494-EB3E-4007-A718-BA5BFCFD354F}"/>
    <cellStyle name="20% - Accent3 2 2 2 3 4" xfId="10459" xr:uid="{52E33F31-7064-4FDE-B4F3-5D5682ABAF4B}"/>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B36DB8BE-04F3-4B90-BD6F-52EBDBA9C2A6}"/>
    <cellStyle name="20% - Accent3 2 2 2 4 2 3" xfId="13017" xr:uid="{F786D6B0-D772-4D2D-AD20-CD623F827413}"/>
    <cellStyle name="20% - Accent3 2 2 2 4 3" xfId="5763" xr:uid="{00000000-0005-0000-0000-000050010000}"/>
    <cellStyle name="20% - Accent3 2 2 2 4 3 2" xfId="15089" xr:uid="{4AA8B408-A80A-4995-93E6-7058E9C438D8}"/>
    <cellStyle name="20% - Accent3 2 2 2 4 4" xfId="10872" xr:uid="{8F1ECFF4-D2F4-43EB-8EA7-FD317986EB4C}"/>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B0D49A14-431F-4EA0-8EDE-DB5BC90AA7ED}"/>
    <cellStyle name="20% - Accent3 2 2 2 5 2 3" xfId="13430" xr:uid="{BE39A358-85D1-49EC-B9F0-92C0F8AE145A}"/>
    <cellStyle name="20% - Accent3 2 2 2 5 3" xfId="6176" xr:uid="{00000000-0005-0000-0000-000054010000}"/>
    <cellStyle name="20% - Accent3 2 2 2 5 3 2" xfId="15502" xr:uid="{F1E8E9A7-6E15-46DD-8A64-CA2DCC8CFB9F}"/>
    <cellStyle name="20% - Accent3 2 2 2 5 4" xfId="11285" xr:uid="{C251FD38-D003-4CCD-B474-D8B1F5150801}"/>
    <cellStyle name="20% - Accent3 2 2 2 6" xfId="2283" xr:uid="{00000000-0005-0000-0000-000055010000}"/>
    <cellStyle name="20% - Accent3 2 2 2 6 2" xfId="6589" xr:uid="{00000000-0005-0000-0000-000056010000}"/>
    <cellStyle name="20% - Accent3 2 2 2 6 2 2" xfId="15915" xr:uid="{70A9FDAB-A3A8-448F-BF54-A866ED859CA6}"/>
    <cellStyle name="20% - Accent3 2 2 2 6 3" xfId="11698" xr:uid="{6D34B906-942C-400E-B164-ABE401C9B8BA}"/>
    <cellStyle name="20% - Accent3 2 2 2 7" xfId="4523" xr:uid="{00000000-0005-0000-0000-000057010000}"/>
    <cellStyle name="20% - Accent3 2 2 2 7 2" xfId="13849" xr:uid="{33E93F92-EE97-4F95-A196-ABEBBED57B2B}"/>
    <cellStyle name="20% - Accent3 2 2 2 8" xfId="9102" xr:uid="{77698EAD-FDE4-4105-BE80-980B5219F464}"/>
    <cellStyle name="20% - Accent3 2 2 2 8 2" xfId="18426" xr:uid="{496293D1-A439-4A60-88E9-52F5492CEE2D}"/>
    <cellStyle name="20% - Accent3 2 2 2 9" xfId="9632" xr:uid="{D9437AD9-EEBC-4EF8-BD01-A27FF571399E}"/>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F773ED1B-AAF7-483D-918D-1F72DE232AE2}"/>
    <cellStyle name="20% - Accent3 2 2 3 2 3" xfId="12190" xr:uid="{6B0A794D-922C-4BCC-B5CF-27FB0F4DC8B0}"/>
    <cellStyle name="20% - Accent3 2 2 3 3" xfId="4936" xr:uid="{00000000-0005-0000-0000-00005B010000}"/>
    <cellStyle name="20% - Accent3 2 2 3 3 2" xfId="14262" xr:uid="{332ED31D-497A-463A-9889-220BECB29CCE}"/>
    <cellStyle name="20% - Accent3 2 2 3 4" xfId="9320" xr:uid="{BF070B19-D289-4211-B080-DBB621CAE7BA}"/>
    <cellStyle name="20% - Accent3 2 2 3 4 2" xfId="18635" xr:uid="{4A1071C9-026C-467C-8947-EA4688817DEF}"/>
    <cellStyle name="20% - Accent3 2 2 3 5" xfId="10045" xr:uid="{F7B22C7A-A922-4FD5-BF73-70718D318C47}"/>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294E436F-8A6C-40B4-B2D0-C788EE96E1A6}"/>
    <cellStyle name="20% - Accent3 2 2 4 2 3" xfId="12603" xr:uid="{5511D181-1E8B-4C37-8D4A-E3723B0A3023}"/>
    <cellStyle name="20% - Accent3 2 2 4 3" xfId="5349" xr:uid="{00000000-0005-0000-0000-00005F010000}"/>
    <cellStyle name="20% - Accent3 2 2 4 3 2" xfId="14675" xr:uid="{9E4A5781-C201-47F6-88C5-7CFF68DDE6D9}"/>
    <cellStyle name="20% - Accent3 2 2 4 4" xfId="10458" xr:uid="{1D379E3D-DC6C-4A93-920D-5F241A22795B}"/>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F09E0965-4620-4411-965C-BBF0F2D7AAF5}"/>
    <cellStyle name="20% - Accent3 2 2 5 2 3" xfId="13016" xr:uid="{5082D2E6-4C2E-4222-B402-98FF1A735398}"/>
    <cellStyle name="20% - Accent3 2 2 5 3" xfId="5762" xr:uid="{00000000-0005-0000-0000-000063010000}"/>
    <cellStyle name="20% - Accent3 2 2 5 3 2" xfId="15088" xr:uid="{6982AEDA-C34F-467E-ADAF-365B0704455E}"/>
    <cellStyle name="20% - Accent3 2 2 5 4" xfId="10871" xr:uid="{239344E1-B192-40DA-AC1F-A68AB6ED149E}"/>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10111D40-317A-451F-8508-670D1884B27B}"/>
    <cellStyle name="20% - Accent3 2 2 6 2 3" xfId="13429" xr:uid="{5F759BBA-21D3-417F-ADEA-2A11D6695416}"/>
    <cellStyle name="20% - Accent3 2 2 6 3" xfId="6175" xr:uid="{00000000-0005-0000-0000-000067010000}"/>
    <cellStyle name="20% - Accent3 2 2 6 3 2" xfId="15501" xr:uid="{1F469D0C-2A85-47AF-A672-D4F4DF3EDEA1}"/>
    <cellStyle name="20% - Accent3 2 2 6 4" xfId="11284" xr:uid="{00469711-A252-4FB4-91D1-459AFF921ACE}"/>
    <cellStyle name="20% - Accent3 2 2 7" xfId="2282" xr:uid="{00000000-0005-0000-0000-000068010000}"/>
    <cellStyle name="20% - Accent3 2 2 7 2" xfId="6588" xr:uid="{00000000-0005-0000-0000-000069010000}"/>
    <cellStyle name="20% - Accent3 2 2 7 2 2" xfId="15914" xr:uid="{881C25AE-FA1F-4CFF-9416-E1FFCBFE129A}"/>
    <cellStyle name="20% - Accent3 2 2 7 3" xfId="11697" xr:uid="{C4AA92C9-EA06-480F-AE9F-A97719C2E8D8}"/>
    <cellStyle name="20% - Accent3 2 2 8" xfId="4522" xr:uid="{00000000-0005-0000-0000-00006A010000}"/>
    <cellStyle name="20% - Accent3 2 2 8 2" xfId="13848" xr:uid="{591B1629-FFAB-43B5-B39D-80F82BB9C42A}"/>
    <cellStyle name="20% - Accent3 2 2 9" xfId="8895" xr:uid="{0ADDC6BA-FD9D-420D-8F5A-13E0A04BBC7C}"/>
    <cellStyle name="20% - Accent3 2 2 9 2" xfId="18219" xr:uid="{81F7C94B-8DFA-4801-B6E4-572169D3D7B9}"/>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7B3A67B8-6726-4224-BE6B-1AB565B31443}"/>
    <cellStyle name="20% - Accent3 2 3 2 2 3" xfId="12192" xr:uid="{98462CB8-86A6-42FD-BF45-D5808794BEF9}"/>
    <cellStyle name="20% - Accent3 2 3 2 3" xfId="4938" xr:uid="{00000000-0005-0000-0000-00006F010000}"/>
    <cellStyle name="20% - Accent3 2 3 2 3 2" xfId="14264" xr:uid="{D4D7C84A-20D9-436E-91B8-2961BFEB1D37}"/>
    <cellStyle name="20% - Accent3 2 3 2 4" xfId="9424" xr:uid="{C3588D98-6F24-4F2C-9F96-F34501405613}"/>
    <cellStyle name="20% - Accent3 2 3 2 4 2" xfId="18739" xr:uid="{43E65D06-8C79-409E-85C2-2C4FAF27315E}"/>
    <cellStyle name="20% - Accent3 2 3 2 5" xfId="10047" xr:uid="{4B617171-5762-4578-8380-40795364DA55}"/>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C4CCECBF-775D-4512-92F9-4A98E09B50D2}"/>
    <cellStyle name="20% - Accent3 2 3 3 2 3" xfId="12605" xr:uid="{36DF9C3F-6BC5-4E52-A3EB-54E71DDE335C}"/>
    <cellStyle name="20% - Accent3 2 3 3 3" xfId="5351" xr:uid="{00000000-0005-0000-0000-000073010000}"/>
    <cellStyle name="20% - Accent3 2 3 3 3 2" xfId="14677" xr:uid="{6D4DB949-AE34-4C79-934F-55E524D433BF}"/>
    <cellStyle name="20% - Accent3 2 3 3 4" xfId="10460" xr:uid="{5C9CE3B8-6384-470F-9F5C-F6FCB0264AC4}"/>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145019B1-774E-47A2-BD6A-D50D9F95B49A}"/>
    <cellStyle name="20% - Accent3 2 3 4 2 3" xfId="13018" xr:uid="{66651127-540E-4B7B-8663-AF656B62A317}"/>
    <cellStyle name="20% - Accent3 2 3 4 3" xfId="5764" xr:uid="{00000000-0005-0000-0000-000077010000}"/>
    <cellStyle name="20% - Accent3 2 3 4 3 2" xfId="15090" xr:uid="{52DA4FF3-E05A-4CC8-9C40-F51D8E2BCA0C}"/>
    <cellStyle name="20% - Accent3 2 3 4 4" xfId="10873" xr:uid="{B1C86204-845C-4232-B1FA-60991F1AE8B6}"/>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72DF92C8-7F35-47C7-9719-065CE813079D}"/>
    <cellStyle name="20% - Accent3 2 3 5 2 3" xfId="13431" xr:uid="{A8BE6287-96B1-4F04-A961-E00DC2A22927}"/>
    <cellStyle name="20% - Accent3 2 3 5 3" xfId="6177" xr:uid="{00000000-0005-0000-0000-00007B010000}"/>
    <cellStyle name="20% - Accent3 2 3 5 3 2" xfId="15503" xr:uid="{565AAF95-6313-4BBB-B205-60772CC565ED}"/>
    <cellStyle name="20% - Accent3 2 3 5 4" xfId="11286" xr:uid="{DB5680C0-E26B-403C-BF10-63B96202DA01}"/>
    <cellStyle name="20% - Accent3 2 3 6" xfId="2284" xr:uid="{00000000-0005-0000-0000-00007C010000}"/>
    <cellStyle name="20% - Accent3 2 3 6 2" xfId="6590" xr:uid="{00000000-0005-0000-0000-00007D010000}"/>
    <cellStyle name="20% - Accent3 2 3 6 2 2" xfId="15916" xr:uid="{D4E973D6-6A6E-46FF-976B-DF234981201E}"/>
    <cellStyle name="20% - Accent3 2 3 6 3" xfId="11699" xr:uid="{986229CE-FFBA-406F-A43C-34CDBE159604}"/>
    <cellStyle name="20% - Accent3 2 3 7" xfId="4524" xr:uid="{00000000-0005-0000-0000-00007E010000}"/>
    <cellStyle name="20% - Accent3 2 3 7 2" xfId="13850" xr:uid="{21755F85-537D-4EB6-A1F5-444DFE6C45A5}"/>
    <cellStyle name="20% - Accent3 2 3 8" xfId="8999" xr:uid="{2B5D0148-B6EA-4DEA-92B1-644886C27051}"/>
    <cellStyle name="20% - Accent3 2 3 8 2" xfId="18323" xr:uid="{6CA2E205-A3BC-42DC-9D86-621573608181}"/>
    <cellStyle name="20% - Accent3 2 3 9" xfId="9633" xr:uid="{46B4C3FE-C6EB-4F90-91E6-FAC40857393A}"/>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69298E0D-6331-44CF-90B9-503A7E04F7FD}"/>
    <cellStyle name="20% - Accent3 2 4 2 3" xfId="12189" xr:uid="{F06F5456-050E-47FF-A0D9-353F7C6BDA8F}"/>
    <cellStyle name="20% - Accent3 2 4 3" xfId="4935" xr:uid="{00000000-0005-0000-0000-000082010000}"/>
    <cellStyle name="20% - Accent3 2 4 3 2" xfId="14261" xr:uid="{F97679DB-5415-4960-9C32-5E919BBFADEE}"/>
    <cellStyle name="20% - Accent3 2 4 4" xfId="9216" xr:uid="{A12C3877-5492-4CD3-AD22-81B3F0AB1EDD}"/>
    <cellStyle name="20% - Accent3 2 4 4 2" xfId="18532" xr:uid="{13694C25-8377-49EB-A0C3-3146B87CB5C8}"/>
    <cellStyle name="20% - Accent3 2 4 5" xfId="10044" xr:uid="{CD075FD2-240B-4FBE-9ED8-399CF653B0A8}"/>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370270C8-E790-4CA4-9371-7AA528B59030}"/>
    <cellStyle name="20% - Accent3 2 5 2 3" xfId="12602" xr:uid="{8766F426-C125-4405-A45C-C6D9A2A6F108}"/>
    <cellStyle name="20% - Accent3 2 5 3" xfId="5348" xr:uid="{00000000-0005-0000-0000-000086010000}"/>
    <cellStyle name="20% - Accent3 2 5 3 2" xfId="14674" xr:uid="{18A62155-6DF4-46BF-9A1E-EFC2F26AAFD1}"/>
    <cellStyle name="20% - Accent3 2 5 4" xfId="10457" xr:uid="{EEC3D925-639E-4117-BB44-5BB470061393}"/>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CCE0F09D-0991-4521-831E-C874DC9FD76D}"/>
    <cellStyle name="20% - Accent3 2 6 2 3" xfId="13015" xr:uid="{D286FAD7-D076-4B38-9ABC-CBB7A15AC6D0}"/>
    <cellStyle name="20% - Accent3 2 6 3" xfId="5761" xr:uid="{00000000-0005-0000-0000-00008A010000}"/>
    <cellStyle name="20% - Accent3 2 6 3 2" xfId="15087" xr:uid="{59DE0FB7-23DA-4BF0-839F-2F76FD3A39DF}"/>
    <cellStyle name="20% - Accent3 2 6 4" xfId="10870" xr:uid="{78EA11F6-9E48-4602-8E3E-E64F2A1095C3}"/>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C47F918F-B926-4D96-AA0D-02902E6AC86C}"/>
    <cellStyle name="20% - Accent3 2 7 2 3" xfId="13428" xr:uid="{C0BDA5AD-1CB0-497C-85DE-81607335C190}"/>
    <cellStyle name="20% - Accent3 2 7 3" xfId="6174" xr:uid="{00000000-0005-0000-0000-00008E010000}"/>
    <cellStyle name="20% - Accent3 2 7 3 2" xfId="15500" xr:uid="{24B8A1DB-B909-4CB6-8F0A-7B82A31DFE08}"/>
    <cellStyle name="20% - Accent3 2 7 4" xfId="11283" xr:uid="{28E1CE3C-71AA-4701-BCAE-E645C6E29426}"/>
    <cellStyle name="20% - Accent3 2 8" xfId="2281" xr:uid="{00000000-0005-0000-0000-00008F010000}"/>
    <cellStyle name="20% - Accent3 2 8 2" xfId="6587" xr:uid="{00000000-0005-0000-0000-000090010000}"/>
    <cellStyle name="20% - Accent3 2 8 2 2" xfId="15913" xr:uid="{3306F08B-81AC-458F-BE87-1099F543D665}"/>
    <cellStyle name="20% - Accent3 2 8 3" xfId="11696" xr:uid="{56F8530B-486D-4A11-92D0-927A23D9FF38}"/>
    <cellStyle name="20% - Accent3 2 9" xfId="4521" xr:uid="{00000000-0005-0000-0000-000091010000}"/>
    <cellStyle name="20% - Accent3 2 9 2" xfId="13847" xr:uid="{353FCB20-4095-41E4-A456-F1F8346DF9BA}"/>
    <cellStyle name="20% - Accent3 3" xfId="22" xr:uid="{00000000-0005-0000-0000-000092010000}"/>
    <cellStyle name="20% - Accent3 3 10" xfId="9634" xr:uid="{F92DAD2F-3DDB-4952-8053-EC55759BC1DB}"/>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05153AB6-C8F0-4D69-B4B7-102946C7AECE}"/>
    <cellStyle name="20% - Accent3 3 2 2 2 3" xfId="12194" xr:uid="{4AE273DA-3509-4052-B909-18FA81F18F42}"/>
    <cellStyle name="20% - Accent3 3 2 2 3" xfId="4940" xr:uid="{00000000-0005-0000-0000-000097010000}"/>
    <cellStyle name="20% - Accent3 3 2 2 3 2" xfId="14266" xr:uid="{09670DDE-6CF9-47D1-904F-87F7514D22AF}"/>
    <cellStyle name="20% - Accent3 3 2 2 4" xfId="9497" xr:uid="{43A0E151-F418-49A1-AF18-121DEB02B6D4}"/>
    <cellStyle name="20% - Accent3 3 2 2 4 2" xfId="18812" xr:uid="{D17C403B-1FB4-4C59-8FB3-8641E05FF538}"/>
    <cellStyle name="20% - Accent3 3 2 2 5" xfId="10049" xr:uid="{D27CA781-A2BA-49A8-93D6-DA8A910C75D0}"/>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70DB33EB-C32B-4AB2-BE56-27675170882A}"/>
    <cellStyle name="20% - Accent3 3 2 3 2 3" xfId="12607" xr:uid="{4F70A431-F593-46E2-9C43-00E21B9195AC}"/>
    <cellStyle name="20% - Accent3 3 2 3 3" xfId="5353" xr:uid="{00000000-0005-0000-0000-00009B010000}"/>
    <cellStyle name="20% - Accent3 3 2 3 3 2" xfId="14679" xr:uid="{44D3D1E8-BB20-48EA-9D5C-F4543F0FEB2D}"/>
    <cellStyle name="20% - Accent3 3 2 3 4" xfId="10462" xr:uid="{FAF1847E-10FB-4BB9-9C14-AB3676DCD6E8}"/>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C408F5D7-20D3-4AED-BA40-95D74BE1E668}"/>
    <cellStyle name="20% - Accent3 3 2 4 2 3" xfId="13020" xr:uid="{7816840C-B40F-4323-BEBA-EE76A260870C}"/>
    <cellStyle name="20% - Accent3 3 2 4 3" xfId="5766" xr:uid="{00000000-0005-0000-0000-00009F010000}"/>
    <cellStyle name="20% - Accent3 3 2 4 3 2" xfId="15092" xr:uid="{0CF6C2CC-5D2E-4ACA-B50D-0C6284160654}"/>
    <cellStyle name="20% - Accent3 3 2 4 4" xfId="10875" xr:uid="{02BDDF89-9EC2-4254-863A-45E7EB38BF64}"/>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5ACB411D-EF97-499A-B7FB-8A8AD34AB720}"/>
    <cellStyle name="20% - Accent3 3 2 5 2 3" xfId="13433" xr:uid="{6D3AC02F-EB1C-4779-8BA6-2B8364D57511}"/>
    <cellStyle name="20% - Accent3 3 2 5 3" xfId="6179" xr:uid="{00000000-0005-0000-0000-0000A3010000}"/>
    <cellStyle name="20% - Accent3 3 2 5 3 2" xfId="15505" xr:uid="{22A04152-00C4-4E42-84EF-F5BBCBB3AB70}"/>
    <cellStyle name="20% - Accent3 3 2 5 4" xfId="11288" xr:uid="{735C0A79-A74D-4DF7-8F2A-F6119D23B112}"/>
    <cellStyle name="20% - Accent3 3 2 6" xfId="2286" xr:uid="{00000000-0005-0000-0000-0000A4010000}"/>
    <cellStyle name="20% - Accent3 3 2 6 2" xfId="6592" xr:uid="{00000000-0005-0000-0000-0000A5010000}"/>
    <cellStyle name="20% - Accent3 3 2 6 2 2" xfId="15918" xr:uid="{1B9E0673-6A67-4CCA-9EE7-89E03A68EF47}"/>
    <cellStyle name="20% - Accent3 3 2 6 3" xfId="11701" xr:uid="{33041E86-254B-4BFE-A1FC-B6310A56F9C7}"/>
    <cellStyle name="20% - Accent3 3 2 7" xfId="4526" xr:uid="{00000000-0005-0000-0000-0000A6010000}"/>
    <cellStyle name="20% - Accent3 3 2 7 2" xfId="13852" xr:uid="{7600703C-338A-4AB9-9DA2-C2E189A6298D}"/>
    <cellStyle name="20% - Accent3 3 2 8" xfId="9072" xr:uid="{422EC144-F6F8-460E-8B93-316BBF9707FB}"/>
    <cellStyle name="20% - Accent3 3 2 8 2" xfId="18396" xr:uid="{0EB94EEE-421E-40CF-9C5A-7A5E87B9594C}"/>
    <cellStyle name="20% - Accent3 3 2 9" xfId="9635" xr:uid="{37355716-4671-4137-B592-9169FE62D57E}"/>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4AAA7354-C6FC-4936-BA9D-8E3C0EA4333E}"/>
    <cellStyle name="20% - Accent3 3 3 2 3" xfId="12193" xr:uid="{DF6CB313-D09E-47E1-878B-91E3DF9BA80B}"/>
    <cellStyle name="20% - Accent3 3 3 3" xfId="4939" xr:uid="{00000000-0005-0000-0000-0000AA010000}"/>
    <cellStyle name="20% - Accent3 3 3 3 2" xfId="14265" xr:uid="{5B86567A-1F61-41F5-8E1A-DAC9F469F84C}"/>
    <cellStyle name="20% - Accent3 3 3 4" xfId="9290" xr:uid="{8511D0A3-BAF4-4D49-BFEA-2ED828678819}"/>
    <cellStyle name="20% - Accent3 3 3 4 2" xfId="18605" xr:uid="{C42068CD-A56E-43B5-B21C-FEB018BD1C4B}"/>
    <cellStyle name="20% - Accent3 3 3 5" xfId="10048" xr:uid="{83DAAC85-17A7-4725-965A-1E91B169A089}"/>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3E2C9EDE-5192-47C5-A692-1B561D9F240D}"/>
    <cellStyle name="20% - Accent3 3 4 2 3" xfId="12606" xr:uid="{08E812E7-E211-4079-8FF5-53717FDB69CD}"/>
    <cellStyle name="20% - Accent3 3 4 3" xfId="5352" xr:uid="{00000000-0005-0000-0000-0000AE010000}"/>
    <cellStyle name="20% - Accent3 3 4 3 2" xfId="14678" xr:uid="{A52A429D-A5D3-4CA5-AA34-0AA296D18D30}"/>
    <cellStyle name="20% - Accent3 3 4 4" xfId="10461" xr:uid="{EC73C417-876C-4B85-8025-0CEE45922FA6}"/>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58788293-02C2-4B48-A53A-4FA9788DCDA1}"/>
    <cellStyle name="20% - Accent3 3 5 2 3" xfId="13019" xr:uid="{ADB7B575-67A4-4AC6-8137-D50FB9C690D6}"/>
    <cellStyle name="20% - Accent3 3 5 3" xfId="5765" xr:uid="{00000000-0005-0000-0000-0000B2010000}"/>
    <cellStyle name="20% - Accent3 3 5 3 2" xfId="15091" xr:uid="{F69F4F8C-70D3-4CA5-A879-00F16250E2F0}"/>
    <cellStyle name="20% - Accent3 3 5 4" xfId="10874" xr:uid="{4593338D-84E7-41F7-84C0-CD6395D715F2}"/>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29A2986B-FB25-47E4-BB7E-9C3F75E56427}"/>
    <cellStyle name="20% - Accent3 3 6 2 3" xfId="13432" xr:uid="{248B7EAC-BE5B-4A8D-91F9-519122527179}"/>
    <cellStyle name="20% - Accent3 3 6 3" xfId="6178" xr:uid="{00000000-0005-0000-0000-0000B6010000}"/>
    <cellStyle name="20% - Accent3 3 6 3 2" xfId="15504" xr:uid="{CCF2F9E7-7452-462F-86BE-4C6CB59219DA}"/>
    <cellStyle name="20% - Accent3 3 6 4" xfId="11287" xr:uid="{01A94AA2-9383-4F6D-9D52-368C4355979A}"/>
    <cellStyle name="20% - Accent3 3 7" xfId="2285" xr:uid="{00000000-0005-0000-0000-0000B7010000}"/>
    <cellStyle name="20% - Accent3 3 7 2" xfId="6591" xr:uid="{00000000-0005-0000-0000-0000B8010000}"/>
    <cellStyle name="20% - Accent3 3 7 2 2" xfId="15917" xr:uid="{D7771A19-1F9E-493D-AA94-04F93C471EDF}"/>
    <cellStyle name="20% - Accent3 3 7 3" xfId="11700" xr:uid="{2E4C9F0F-FC5D-4C12-AE1C-285BB1F90060}"/>
    <cellStyle name="20% - Accent3 3 8" xfId="4525" xr:uid="{00000000-0005-0000-0000-0000B9010000}"/>
    <cellStyle name="20% - Accent3 3 8 2" xfId="13851" xr:uid="{09E2F7DE-E709-4814-A555-FBCB2E2AB492}"/>
    <cellStyle name="20% - Accent3 3 9" xfId="8865" xr:uid="{FFA3EBA3-F40D-47A2-8AA1-A3A9E7BB9A8E}"/>
    <cellStyle name="20% - Accent3 3 9 2" xfId="18189" xr:uid="{2752AAB3-ED50-4C64-A1BB-685D026C2CC2}"/>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C6E8DA96-7B15-4B64-BB2A-D49D9E4CC86D}"/>
    <cellStyle name="20% - Accent3 4 2 2 3" xfId="12195" xr:uid="{E18EEDD3-2A6D-4C76-BBFC-379B9965446E}"/>
    <cellStyle name="20% - Accent3 4 2 3" xfId="4941" xr:uid="{00000000-0005-0000-0000-0000BE010000}"/>
    <cellStyle name="20% - Accent3 4 2 3 2" xfId="14267" xr:uid="{55EBC1CA-866A-4869-9303-63510C6D5AA8}"/>
    <cellStyle name="20% - Accent3 4 2 4" xfId="9376" xr:uid="{92AC27CA-0B0B-4AFE-8457-D3F19BE2837F}"/>
    <cellStyle name="20% - Accent3 4 2 4 2" xfId="18691" xr:uid="{45BB5C4F-C358-47FA-AA6C-500ED105BB4A}"/>
    <cellStyle name="20% - Accent3 4 2 5" xfId="10050" xr:uid="{7D77DD41-591F-47DF-BD9F-AD79D9CB073C}"/>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70B0D9FC-623D-4B80-945F-4701A0AEEFDF}"/>
    <cellStyle name="20% - Accent3 4 3 2 3" xfId="12608" xr:uid="{9D005F25-9587-4B91-AF46-897F6E1E294A}"/>
    <cellStyle name="20% - Accent3 4 3 3" xfId="5354" xr:uid="{00000000-0005-0000-0000-0000C2010000}"/>
    <cellStyle name="20% - Accent3 4 3 3 2" xfId="14680" xr:uid="{F26F21BC-89B4-4B7F-9760-003EDC56B10D}"/>
    <cellStyle name="20% - Accent3 4 3 4" xfId="10463" xr:uid="{F5BAEF84-434C-4797-A85B-3D48DE318CA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6DE56647-BB9F-4F03-A4E2-275447FF6F90}"/>
    <cellStyle name="20% - Accent3 4 4 2 3" xfId="13021" xr:uid="{78769E28-B205-47C7-AE60-B403AB36ABAE}"/>
    <cellStyle name="20% - Accent3 4 4 3" xfId="5767" xr:uid="{00000000-0005-0000-0000-0000C6010000}"/>
    <cellStyle name="20% - Accent3 4 4 3 2" xfId="15093" xr:uid="{9BE7C92E-EC92-4AC3-A09F-F5D040C3807F}"/>
    <cellStyle name="20% - Accent3 4 4 4" xfId="10876" xr:uid="{1609CF4B-A782-4E6E-8A6D-09DBA0CCD81E}"/>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B80D291C-9DC0-4C70-AFB7-6A4B64BDAEC5}"/>
    <cellStyle name="20% - Accent3 4 5 2 3" xfId="13434" xr:uid="{B6A0CE78-9DF5-4214-BBBE-A25220112152}"/>
    <cellStyle name="20% - Accent3 4 5 3" xfId="6180" xr:uid="{00000000-0005-0000-0000-0000CA010000}"/>
    <cellStyle name="20% - Accent3 4 5 3 2" xfId="15506" xr:uid="{77441303-4C29-4F08-9087-699F63357CE6}"/>
    <cellStyle name="20% - Accent3 4 5 4" xfId="11289" xr:uid="{7BAD4281-1899-433B-AB9D-AE7408D71A0A}"/>
    <cellStyle name="20% - Accent3 4 6" xfId="2287" xr:uid="{00000000-0005-0000-0000-0000CB010000}"/>
    <cellStyle name="20% - Accent3 4 6 2" xfId="6593" xr:uid="{00000000-0005-0000-0000-0000CC010000}"/>
    <cellStyle name="20% - Accent3 4 6 2 2" xfId="15919" xr:uid="{69D85DF7-9CA5-4564-8329-F55F090D8D81}"/>
    <cellStyle name="20% - Accent3 4 6 3" xfId="11702" xr:uid="{6AFADF13-FBEC-4B97-8722-2821EB242305}"/>
    <cellStyle name="20% - Accent3 4 7" xfId="4527" xr:uid="{00000000-0005-0000-0000-0000CD010000}"/>
    <cellStyle name="20% - Accent3 4 7 2" xfId="13853" xr:uid="{0EB714CA-3016-49E2-B4A7-4368EA7CABA3}"/>
    <cellStyle name="20% - Accent3 4 8" xfId="8951" xr:uid="{3CB7770B-4F12-4C44-B65D-06C641FEE851}"/>
    <cellStyle name="20% - Accent3 4 8 2" xfId="18275" xr:uid="{D833A709-A825-4DCB-8EF1-09180A3CBDFE}"/>
    <cellStyle name="20% - Accent3 4 9" xfId="9636" xr:uid="{12A16316-058E-42E8-8B4D-D5F2A1607A7F}"/>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36CF8396-6021-4B1D-A239-39C0931101DB}"/>
    <cellStyle name="20% - Accent3 5 2 3" xfId="12188" xr:uid="{FDFE923A-8D95-4805-A6C7-44B8401317EF}"/>
    <cellStyle name="20% - Accent3 5 3" xfId="4934" xr:uid="{00000000-0005-0000-0000-0000D1010000}"/>
    <cellStyle name="20% - Accent3 5 3 2" xfId="14260" xr:uid="{4E8AB98C-E61B-4EE7-AD50-240841910931}"/>
    <cellStyle name="20% - Accent3 5 4" xfId="9184" xr:uid="{F51B2D95-9593-4370-A6D2-AFEF087D7920}"/>
    <cellStyle name="20% - Accent3 5 4 2" xfId="18502" xr:uid="{BEDBF69A-632F-47D3-AE7F-4F8A568413FE}"/>
    <cellStyle name="20% - Accent3 5 5" xfId="10043" xr:uid="{8BAAAD53-108C-4E88-AC73-21B215E246B6}"/>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DC7B29F7-81E8-4E22-8E2F-9A70B0DBE2FA}"/>
    <cellStyle name="20% - Accent3 6 2 3" xfId="12601" xr:uid="{D762A6C0-5428-4267-8228-2029F73E0BB1}"/>
    <cellStyle name="20% - Accent3 6 3" xfId="5347" xr:uid="{00000000-0005-0000-0000-0000D5010000}"/>
    <cellStyle name="20% - Accent3 6 3 2" xfId="14673" xr:uid="{B3ADD851-060F-4722-9192-9D51B85B8C0F}"/>
    <cellStyle name="20% - Accent3 6 4" xfId="10456" xr:uid="{5EE7B0E2-3672-4939-88C7-57A1CAD05C37}"/>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8B403D3E-63AA-416C-9D64-8589F7084AD6}"/>
    <cellStyle name="20% - Accent3 7 2 3" xfId="13014" xr:uid="{3300A6EB-8FAE-42F3-AF3B-55BA8E2F86E5}"/>
    <cellStyle name="20% - Accent3 7 3" xfId="5760" xr:uid="{00000000-0005-0000-0000-0000D9010000}"/>
    <cellStyle name="20% - Accent3 7 3 2" xfId="15086" xr:uid="{C0061356-186F-44BE-A54B-588F6C8567B7}"/>
    <cellStyle name="20% - Accent3 7 4" xfId="10869" xr:uid="{8545A828-AB7B-4832-B420-4F7351081C07}"/>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A6BD7C23-265A-4FF7-BC2F-9B158C0FA660}"/>
    <cellStyle name="20% - Accent3 8 2 3" xfId="13427" xr:uid="{081F812B-457B-487E-96A0-E54BEFD5E45D}"/>
    <cellStyle name="20% - Accent3 8 3" xfId="6173" xr:uid="{00000000-0005-0000-0000-0000DD010000}"/>
    <cellStyle name="20% - Accent3 8 3 2" xfId="15499" xr:uid="{6F2E0A39-9F89-44DE-847E-C5BD60C0A63A}"/>
    <cellStyle name="20% - Accent3 8 4" xfId="11282" xr:uid="{70F67B12-B0EF-4CF0-A15E-407B77E0B5CF}"/>
    <cellStyle name="20% - Accent3 9" xfId="2280" xr:uid="{00000000-0005-0000-0000-0000DE010000}"/>
    <cellStyle name="20% - Accent3 9 2" xfId="6586" xr:uid="{00000000-0005-0000-0000-0000DF010000}"/>
    <cellStyle name="20% - Accent3 9 2 2" xfId="15912" xr:uid="{7023F7E5-60EB-4921-A723-FD2F74A1A9D3}"/>
    <cellStyle name="20% - Accent3 9 3" xfId="11695" xr:uid="{25D3C9E2-8024-4607-96B3-766A2C641864}"/>
    <cellStyle name="20% - Accent4" xfId="25" builtinId="42" customBuiltin="1"/>
    <cellStyle name="20% - Accent4 10" xfId="4528" xr:uid="{00000000-0005-0000-0000-0000E1010000}"/>
    <cellStyle name="20% - Accent4 10 2" xfId="13854" xr:uid="{16354B1A-E860-4CAC-A2C6-CFD9BF0D9EFD}"/>
    <cellStyle name="20% - Accent4 11" xfId="8764" xr:uid="{4A9BF508-806C-496D-AEC5-5842E4A62892}"/>
    <cellStyle name="20% - Accent4 11 2" xfId="18088" xr:uid="{8BD849C3-FEB4-4308-9F16-E583E20BE4F9}"/>
    <cellStyle name="20% - Accent4 12" xfId="9637" xr:uid="{74C18345-39B1-4070-8905-F610B9710B66}"/>
    <cellStyle name="20% - Accent4 2" xfId="26" xr:uid="{00000000-0005-0000-0000-0000E2010000}"/>
    <cellStyle name="20% - Accent4 2 10" xfId="8794" xr:uid="{31A2F477-5237-45C2-B43F-25AC049A95FF}"/>
    <cellStyle name="20% - Accent4 2 10 2" xfId="18118" xr:uid="{7E7D1906-2F72-4FEF-944A-6936623096C3}"/>
    <cellStyle name="20% - Accent4 2 11" xfId="9638" xr:uid="{6EDA3C61-5261-4396-8AE1-A261BF52BFDD}"/>
    <cellStyle name="20% - Accent4 2 2" xfId="27" xr:uid="{00000000-0005-0000-0000-0000E3010000}"/>
    <cellStyle name="20% - Accent4 2 2 10" xfId="9639" xr:uid="{3C7A30AA-5163-4919-B57D-F600F397EACF}"/>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EA4EE1AE-AFBC-4544-84EF-5C45F215CB8E}"/>
    <cellStyle name="20% - Accent4 2 2 2 2 2 3" xfId="12199" xr:uid="{B6C1EBBB-5516-4406-A5F1-BE0F1887D093}"/>
    <cellStyle name="20% - Accent4 2 2 2 2 3" xfId="4945" xr:uid="{00000000-0005-0000-0000-0000E8010000}"/>
    <cellStyle name="20% - Accent4 2 2 2 2 3 2" xfId="14271" xr:uid="{6E0A9204-2DF7-4BE0-A7CC-34095FD9ABC0}"/>
    <cellStyle name="20% - Accent4 2 2 2 2 4" xfId="9529" xr:uid="{0C40CE19-1873-4316-818D-CC943AAFBB7B}"/>
    <cellStyle name="20% - Accent4 2 2 2 2 4 2" xfId="18844" xr:uid="{D6E15F6C-F1F5-47FF-9A2E-28CF08F71365}"/>
    <cellStyle name="20% - Accent4 2 2 2 2 5" xfId="10054" xr:uid="{4BD63ED7-B22A-4837-9869-E9A7661D5259}"/>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221F84BD-9F05-48B7-B9A8-3DAD5A5BCB17}"/>
    <cellStyle name="20% - Accent4 2 2 2 3 2 3" xfId="12612" xr:uid="{9514BEB8-7A99-4981-8715-EC5277125A44}"/>
    <cellStyle name="20% - Accent4 2 2 2 3 3" xfId="5358" xr:uid="{00000000-0005-0000-0000-0000EC010000}"/>
    <cellStyle name="20% - Accent4 2 2 2 3 3 2" xfId="14684" xr:uid="{622A0A8C-1233-441D-82AD-04600D6D653B}"/>
    <cellStyle name="20% - Accent4 2 2 2 3 4" xfId="10467" xr:uid="{EB3700EE-525E-4346-8B3F-64CE534990D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59049681-615F-4D22-AF4B-2424C2A43935}"/>
    <cellStyle name="20% - Accent4 2 2 2 4 2 3" xfId="13025" xr:uid="{CD03252B-8EA2-4A57-AA07-F0E6164E75AA}"/>
    <cellStyle name="20% - Accent4 2 2 2 4 3" xfId="5771" xr:uid="{00000000-0005-0000-0000-0000F0010000}"/>
    <cellStyle name="20% - Accent4 2 2 2 4 3 2" xfId="15097" xr:uid="{1C383222-6CE5-48A1-BDF6-2888200CA2C8}"/>
    <cellStyle name="20% - Accent4 2 2 2 4 4" xfId="10880" xr:uid="{5FA3C3EB-8031-4744-BF16-89941F513B4F}"/>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B55AED10-C490-4653-B631-4F5768E75FE5}"/>
    <cellStyle name="20% - Accent4 2 2 2 5 2 3" xfId="13438" xr:uid="{57226579-698F-4269-9CC6-FADA26D1C250}"/>
    <cellStyle name="20% - Accent4 2 2 2 5 3" xfId="6184" xr:uid="{00000000-0005-0000-0000-0000F4010000}"/>
    <cellStyle name="20% - Accent4 2 2 2 5 3 2" xfId="15510" xr:uid="{DF691185-1482-4248-8F70-F92AC4147758}"/>
    <cellStyle name="20% - Accent4 2 2 2 5 4" xfId="11293" xr:uid="{78617605-2B86-4133-8092-CE539957A3CC}"/>
    <cellStyle name="20% - Accent4 2 2 2 6" xfId="2291" xr:uid="{00000000-0005-0000-0000-0000F5010000}"/>
    <cellStyle name="20% - Accent4 2 2 2 6 2" xfId="6597" xr:uid="{00000000-0005-0000-0000-0000F6010000}"/>
    <cellStyle name="20% - Accent4 2 2 2 6 2 2" xfId="15923" xr:uid="{EC0C2BB3-FC25-49C5-B099-C64268471053}"/>
    <cellStyle name="20% - Accent4 2 2 2 6 3" xfId="11706" xr:uid="{CD40A666-B1DA-47A1-9960-73DC4D373024}"/>
    <cellStyle name="20% - Accent4 2 2 2 7" xfId="4531" xr:uid="{00000000-0005-0000-0000-0000F7010000}"/>
    <cellStyle name="20% - Accent4 2 2 2 7 2" xfId="13857" xr:uid="{346BD19A-6F5C-4BBE-99AF-9B0009809A8B}"/>
    <cellStyle name="20% - Accent4 2 2 2 8" xfId="9104" xr:uid="{526BE306-22BA-4A85-81B2-34AEB56F0D90}"/>
    <cellStyle name="20% - Accent4 2 2 2 8 2" xfId="18428" xr:uid="{83D5B663-ABDC-46FD-98BA-A5B040E3D560}"/>
    <cellStyle name="20% - Accent4 2 2 2 9" xfId="9640" xr:uid="{FDA5BEB3-583A-40EF-B107-F72A508F195A}"/>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13514EBA-4094-4462-83D1-1E5E1C0F1AA5}"/>
    <cellStyle name="20% - Accent4 2 2 3 2 3" xfId="12198" xr:uid="{D5EC6F5F-0F17-4923-9BCC-F94C8C3A51CF}"/>
    <cellStyle name="20% - Accent4 2 2 3 3" xfId="4944" xr:uid="{00000000-0005-0000-0000-0000FB010000}"/>
    <cellStyle name="20% - Accent4 2 2 3 3 2" xfId="14270" xr:uid="{7F70E340-1A6F-4889-BECD-1028BD50F500}"/>
    <cellStyle name="20% - Accent4 2 2 3 4" xfId="9322" xr:uid="{003BBE99-27AA-4036-A373-4475953A88F4}"/>
    <cellStyle name="20% - Accent4 2 2 3 4 2" xfId="18637" xr:uid="{7702742E-DCB2-46B7-B827-3D17E7453EC8}"/>
    <cellStyle name="20% - Accent4 2 2 3 5" xfId="10053" xr:uid="{EC2C81AD-365F-4563-B254-DBD9A2BB992C}"/>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B7C8BA55-DE63-4889-9F46-375D89A1CF06}"/>
    <cellStyle name="20% - Accent4 2 2 4 2 3" xfId="12611" xr:uid="{9B9D8C6D-EC21-41CF-81CB-EEFEE07968A6}"/>
    <cellStyle name="20% - Accent4 2 2 4 3" xfId="5357" xr:uid="{00000000-0005-0000-0000-0000FF010000}"/>
    <cellStyle name="20% - Accent4 2 2 4 3 2" xfId="14683" xr:uid="{9F4EBC15-A27E-4524-A330-3994B88B5123}"/>
    <cellStyle name="20% - Accent4 2 2 4 4" xfId="10466" xr:uid="{300ECC30-330B-4A13-8036-C5657876F492}"/>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297E8B64-CBC7-45D0-A295-6DF660D06085}"/>
    <cellStyle name="20% - Accent4 2 2 5 2 3" xfId="13024" xr:uid="{3F12E76A-7E22-44DF-AD8E-AB82C551A36D}"/>
    <cellStyle name="20% - Accent4 2 2 5 3" xfId="5770" xr:uid="{00000000-0005-0000-0000-000003020000}"/>
    <cellStyle name="20% - Accent4 2 2 5 3 2" xfId="15096" xr:uid="{B4E691DC-71ED-46B5-9736-615AB662E96B}"/>
    <cellStyle name="20% - Accent4 2 2 5 4" xfId="10879" xr:uid="{A81C655D-FC08-4C90-92D5-B7FF10676343}"/>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37383B33-A81E-4BB2-9038-22D12278168E}"/>
    <cellStyle name="20% - Accent4 2 2 6 2 3" xfId="13437" xr:uid="{2788B50F-776C-4638-BB77-3AE8066A48A7}"/>
    <cellStyle name="20% - Accent4 2 2 6 3" xfId="6183" xr:uid="{00000000-0005-0000-0000-000007020000}"/>
    <cellStyle name="20% - Accent4 2 2 6 3 2" xfId="15509" xr:uid="{5A436550-595B-4F2E-984E-4135358145C8}"/>
    <cellStyle name="20% - Accent4 2 2 6 4" xfId="11292" xr:uid="{3C860926-1B7E-40CF-885C-2E68D96300E6}"/>
    <cellStyle name="20% - Accent4 2 2 7" xfId="2290" xr:uid="{00000000-0005-0000-0000-000008020000}"/>
    <cellStyle name="20% - Accent4 2 2 7 2" xfId="6596" xr:uid="{00000000-0005-0000-0000-000009020000}"/>
    <cellStyle name="20% - Accent4 2 2 7 2 2" xfId="15922" xr:uid="{12CF29D9-E30C-4117-AA79-429438EA859F}"/>
    <cellStyle name="20% - Accent4 2 2 7 3" xfId="11705" xr:uid="{11AF1AEF-43B7-411E-A39D-6B3DFAE18C76}"/>
    <cellStyle name="20% - Accent4 2 2 8" xfId="4530" xr:uid="{00000000-0005-0000-0000-00000A020000}"/>
    <cellStyle name="20% - Accent4 2 2 8 2" xfId="13856" xr:uid="{D931DB98-8FAC-4771-A84E-8BDEB9DDAC0B}"/>
    <cellStyle name="20% - Accent4 2 2 9" xfId="8897" xr:uid="{3A58A73C-0193-4EAC-8E12-5BF8743CE9BA}"/>
    <cellStyle name="20% - Accent4 2 2 9 2" xfId="18221" xr:uid="{05781E59-CD4E-45ED-9198-283C8EAEF62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B3A0C7B0-77FF-443D-A53B-9228010425FF}"/>
    <cellStyle name="20% - Accent4 2 3 2 2 3" xfId="12200" xr:uid="{119B477D-795E-4BCB-9305-577AC7D584CD}"/>
    <cellStyle name="20% - Accent4 2 3 2 3" xfId="4946" xr:uid="{00000000-0005-0000-0000-00000F020000}"/>
    <cellStyle name="20% - Accent4 2 3 2 3 2" xfId="14272" xr:uid="{2F9453D6-6813-4989-9924-281E23EFC1B8}"/>
    <cellStyle name="20% - Accent4 2 3 2 4" xfId="9426" xr:uid="{5B247D51-FBFD-4799-8395-E3F1C04297B8}"/>
    <cellStyle name="20% - Accent4 2 3 2 4 2" xfId="18741" xr:uid="{68F288A4-3C3B-4C68-BE35-CE1BFB017455}"/>
    <cellStyle name="20% - Accent4 2 3 2 5" xfId="10055" xr:uid="{9ECE3BCB-391F-4813-B017-7720BF859CD1}"/>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CDBC0A0D-8CB3-4531-B4E9-12FA64BE4C73}"/>
    <cellStyle name="20% - Accent4 2 3 3 2 3" xfId="12613" xr:uid="{CB38606C-6425-423A-91BE-C19AA58E075E}"/>
    <cellStyle name="20% - Accent4 2 3 3 3" xfId="5359" xr:uid="{00000000-0005-0000-0000-000013020000}"/>
    <cellStyle name="20% - Accent4 2 3 3 3 2" xfId="14685" xr:uid="{5B6B7432-6E91-44B8-ABB8-2B4FA4C84C4D}"/>
    <cellStyle name="20% - Accent4 2 3 3 4" xfId="10468" xr:uid="{2EB306C1-1698-41F0-9301-3D2EA4DA6C74}"/>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F79351D8-24A9-4114-A082-50C784E46555}"/>
    <cellStyle name="20% - Accent4 2 3 4 2 3" xfId="13026" xr:uid="{C33905C6-3186-4381-B3CD-8BA1C8C0C40A}"/>
    <cellStyle name="20% - Accent4 2 3 4 3" xfId="5772" xr:uid="{00000000-0005-0000-0000-000017020000}"/>
    <cellStyle name="20% - Accent4 2 3 4 3 2" xfId="15098" xr:uid="{A6E49559-F935-4177-96DC-63200615E899}"/>
    <cellStyle name="20% - Accent4 2 3 4 4" xfId="10881" xr:uid="{8E7BB1EA-0F3E-46A1-AAD7-AA432F9418D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50BB5913-43D0-4A2D-9C66-D08887929F44}"/>
    <cellStyle name="20% - Accent4 2 3 5 2 3" xfId="13439" xr:uid="{2612A379-7581-4482-82DC-1B807DC0B9B9}"/>
    <cellStyle name="20% - Accent4 2 3 5 3" xfId="6185" xr:uid="{00000000-0005-0000-0000-00001B020000}"/>
    <cellStyle name="20% - Accent4 2 3 5 3 2" xfId="15511" xr:uid="{BD682953-B1C4-40AB-845D-B1A6FC4E8C77}"/>
    <cellStyle name="20% - Accent4 2 3 5 4" xfId="11294" xr:uid="{3E26D4A7-18C0-4748-96DE-EB91D3B8214B}"/>
    <cellStyle name="20% - Accent4 2 3 6" xfId="2292" xr:uid="{00000000-0005-0000-0000-00001C020000}"/>
    <cellStyle name="20% - Accent4 2 3 6 2" xfId="6598" xr:uid="{00000000-0005-0000-0000-00001D020000}"/>
    <cellStyle name="20% - Accent4 2 3 6 2 2" xfId="15924" xr:uid="{E56B6381-B2CD-4F4D-9828-B3B1448DA2D4}"/>
    <cellStyle name="20% - Accent4 2 3 6 3" xfId="11707" xr:uid="{F91AA8E0-A8C9-4F4A-B976-95455CAB6470}"/>
    <cellStyle name="20% - Accent4 2 3 7" xfId="4532" xr:uid="{00000000-0005-0000-0000-00001E020000}"/>
    <cellStyle name="20% - Accent4 2 3 7 2" xfId="13858" xr:uid="{E7CF8596-F495-42D0-9E62-089A8A90E3B2}"/>
    <cellStyle name="20% - Accent4 2 3 8" xfId="9001" xr:uid="{B9DE6BBA-06E2-4FC8-B645-F20E60244072}"/>
    <cellStyle name="20% - Accent4 2 3 8 2" xfId="18325" xr:uid="{E02EE383-D7D3-4CA2-A709-08F3CE47D9E7}"/>
    <cellStyle name="20% - Accent4 2 3 9" xfId="9641" xr:uid="{343CE1CE-F593-4846-9E49-F9CE754AF032}"/>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8C5F9532-C1E7-4703-9B5E-F6697093748C}"/>
    <cellStyle name="20% - Accent4 2 4 2 3" xfId="12197" xr:uid="{1DF662A9-AC60-4694-9661-BACB100D5DC5}"/>
    <cellStyle name="20% - Accent4 2 4 3" xfId="4943" xr:uid="{00000000-0005-0000-0000-000022020000}"/>
    <cellStyle name="20% - Accent4 2 4 3 2" xfId="14269" xr:uid="{0C62E788-767C-473B-A7F1-91F6C67E2C34}"/>
    <cellStyle name="20% - Accent4 2 4 4" xfId="9218" xr:uid="{EEA9CEE5-7B27-41EB-B571-13D0ADC44445}"/>
    <cellStyle name="20% - Accent4 2 4 4 2" xfId="18534" xr:uid="{71494891-A03A-47B7-BCC4-1353E8A290F4}"/>
    <cellStyle name="20% - Accent4 2 4 5" xfId="10052" xr:uid="{E67C1658-EE37-4066-8BF5-FCFD6D94827F}"/>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30DECF10-B15A-4968-A40F-C42CA4C80F68}"/>
    <cellStyle name="20% - Accent4 2 5 2 3" xfId="12610" xr:uid="{6436B9E2-0AA4-482E-BA29-1F6CFFE0F985}"/>
    <cellStyle name="20% - Accent4 2 5 3" xfId="5356" xr:uid="{00000000-0005-0000-0000-000026020000}"/>
    <cellStyle name="20% - Accent4 2 5 3 2" xfId="14682" xr:uid="{03B4C9B9-4D75-4A29-B02F-5CED27CE05EB}"/>
    <cellStyle name="20% - Accent4 2 5 4" xfId="10465" xr:uid="{0FBE1884-AAB5-4A7C-8353-AA17C9FAA00A}"/>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1B8DF986-1F08-4E45-8ACE-98818A7511D7}"/>
    <cellStyle name="20% - Accent4 2 6 2 3" xfId="13023" xr:uid="{AF65AFC4-C33C-4E57-A85A-E8F41A6ED4C2}"/>
    <cellStyle name="20% - Accent4 2 6 3" xfId="5769" xr:uid="{00000000-0005-0000-0000-00002A020000}"/>
    <cellStyle name="20% - Accent4 2 6 3 2" xfId="15095" xr:uid="{DDBC49C4-A991-4B6A-B16D-F69682DA5142}"/>
    <cellStyle name="20% - Accent4 2 6 4" xfId="10878" xr:uid="{31FA7F24-4A6D-4C58-94E4-638ED8F2CF74}"/>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5B49F9F4-4F22-42FF-B9C6-3047F9CA35C3}"/>
    <cellStyle name="20% - Accent4 2 7 2 3" xfId="13436" xr:uid="{6C9CE4DB-EBD3-4EB9-B2E4-2C9EF8B9C1B8}"/>
    <cellStyle name="20% - Accent4 2 7 3" xfId="6182" xr:uid="{00000000-0005-0000-0000-00002E020000}"/>
    <cellStyle name="20% - Accent4 2 7 3 2" xfId="15508" xr:uid="{19D2DEB2-BAF9-4331-922E-709CFCC964C5}"/>
    <cellStyle name="20% - Accent4 2 7 4" xfId="11291" xr:uid="{AD61E746-0B79-43E8-9921-EB1D72F8B8BA}"/>
    <cellStyle name="20% - Accent4 2 8" xfId="2289" xr:uid="{00000000-0005-0000-0000-00002F020000}"/>
    <cellStyle name="20% - Accent4 2 8 2" xfId="6595" xr:uid="{00000000-0005-0000-0000-000030020000}"/>
    <cellStyle name="20% - Accent4 2 8 2 2" xfId="15921" xr:uid="{472DD7B8-8E0A-439C-9D98-3969375C5715}"/>
    <cellStyle name="20% - Accent4 2 8 3" xfId="11704" xr:uid="{F7AE7538-475B-41F2-846E-BBAC3A7BFD25}"/>
    <cellStyle name="20% - Accent4 2 9" xfId="4529" xr:uid="{00000000-0005-0000-0000-000031020000}"/>
    <cellStyle name="20% - Accent4 2 9 2" xfId="13855" xr:uid="{3B6A2C63-9019-4835-AA76-08459CFC6961}"/>
    <cellStyle name="20% - Accent4 3" xfId="30" xr:uid="{00000000-0005-0000-0000-000032020000}"/>
    <cellStyle name="20% - Accent4 3 10" xfId="9642" xr:uid="{75F55F64-A488-4FA5-95ED-C5FC0CCB0447}"/>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BE32FE21-FCD4-43EC-AD7F-287D67557475}"/>
    <cellStyle name="20% - Accent4 3 2 2 2 3" xfId="12202" xr:uid="{42BE0543-E6DB-4979-B2F2-178469D5231C}"/>
    <cellStyle name="20% - Accent4 3 2 2 3" xfId="4948" xr:uid="{00000000-0005-0000-0000-000037020000}"/>
    <cellStyle name="20% - Accent4 3 2 2 3 2" xfId="14274" xr:uid="{0C8AE1CE-CF1A-4F7D-838F-E4F9DF1BFA1A}"/>
    <cellStyle name="20% - Accent4 3 2 2 4" xfId="9499" xr:uid="{019308F4-938B-408B-A627-483AF94276A0}"/>
    <cellStyle name="20% - Accent4 3 2 2 4 2" xfId="18814" xr:uid="{2EB8E5AF-FCD8-4D5A-8A0D-EA43AFBA8FB4}"/>
    <cellStyle name="20% - Accent4 3 2 2 5" xfId="10057" xr:uid="{2403D062-B1A4-4264-BDBE-630AA7F9E5E9}"/>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7D1B3604-1048-4EAF-8A76-CB83E74A2915}"/>
    <cellStyle name="20% - Accent4 3 2 3 2 3" xfId="12615" xr:uid="{863646A3-EF91-47E0-82D8-21EEC5B89EB6}"/>
    <cellStyle name="20% - Accent4 3 2 3 3" xfId="5361" xr:uid="{00000000-0005-0000-0000-00003B020000}"/>
    <cellStyle name="20% - Accent4 3 2 3 3 2" xfId="14687" xr:uid="{46327E67-A1FF-4226-9D2F-C30BD09E3C5A}"/>
    <cellStyle name="20% - Accent4 3 2 3 4" xfId="10470" xr:uid="{B4D2C045-390E-4B07-BF0B-C53202B4A76E}"/>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D1FA67C3-40FC-4E12-A832-5E694AEE2473}"/>
    <cellStyle name="20% - Accent4 3 2 4 2 3" xfId="13028" xr:uid="{642990A7-BEEB-4A99-A1E0-8B36E2BEDC35}"/>
    <cellStyle name="20% - Accent4 3 2 4 3" xfId="5774" xr:uid="{00000000-0005-0000-0000-00003F020000}"/>
    <cellStyle name="20% - Accent4 3 2 4 3 2" xfId="15100" xr:uid="{C366AA88-1EB9-4CF6-A567-5D74E6960C22}"/>
    <cellStyle name="20% - Accent4 3 2 4 4" xfId="10883" xr:uid="{1EFE20FB-8E17-4727-B5DF-30541E129E6A}"/>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138F9F9A-BA9C-40BC-837A-3E59D292F898}"/>
    <cellStyle name="20% - Accent4 3 2 5 2 3" xfId="13441" xr:uid="{8107D9FB-E3B9-42FA-9E44-697964C63003}"/>
    <cellStyle name="20% - Accent4 3 2 5 3" xfId="6187" xr:uid="{00000000-0005-0000-0000-000043020000}"/>
    <cellStyle name="20% - Accent4 3 2 5 3 2" xfId="15513" xr:uid="{BE10D8B3-08A6-460A-B115-005C3D61364A}"/>
    <cellStyle name="20% - Accent4 3 2 5 4" xfId="11296" xr:uid="{871355C5-B833-489E-A812-7E395D6C7370}"/>
    <cellStyle name="20% - Accent4 3 2 6" xfId="2294" xr:uid="{00000000-0005-0000-0000-000044020000}"/>
    <cellStyle name="20% - Accent4 3 2 6 2" xfId="6600" xr:uid="{00000000-0005-0000-0000-000045020000}"/>
    <cellStyle name="20% - Accent4 3 2 6 2 2" xfId="15926" xr:uid="{55F1ECBC-341C-447C-993C-0588E1A67889}"/>
    <cellStyle name="20% - Accent4 3 2 6 3" xfId="11709" xr:uid="{6575B4B5-CEDE-46FF-9DD9-BF614B7C0F9A}"/>
    <cellStyle name="20% - Accent4 3 2 7" xfId="4534" xr:uid="{00000000-0005-0000-0000-000046020000}"/>
    <cellStyle name="20% - Accent4 3 2 7 2" xfId="13860" xr:uid="{0C403D07-9286-4DD8-AEF2-723983A973B4}"/>
    <cellStyle name="20% - Accent4 3 2 8" xfId="9074" xr:uid="{BA25EAA8-2B5F-4309-91A3-FC61FCEF209C}"/>
    <cellStyle name="20% - Accent4 3 2 8 2" xfId="18398" xr:uid="{B2143C39-A81D-4980-9339-0FE5B57E6EBF}"/>
    <cellStyle name="20% - Accent4 3 2 9" xfId="9643" xr:uid="{E3FEDA5E-8090-4830-A8AE-10001387E3C5}"/>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694B8020-4E45-48DE-A349-EEAD10FF0C14}"/>
    <cellStyle name="20% - Accent4 3 3 2 3" xfId="12201" xr:uid="{205D7EBD-6163-4D15-B310-84751E8370B5}"/>
    <cellStyle name="20% - Accent4 3 3 3" xfId="4947" xr:uid="{00000000-0005-0000-0000-00004A020000}"/>
    <cellStyle name="20% - Accent4 3 3 3 2" xfId="14273" xr:uid="{8B093CCD-1DF7-411C-A10B-91718BE901A3}"/>
    <cellStyle name="20% - Accent4 3 3 4" xfId="9292" xr:uid="{E33AB5E9-A8F9-45CB-AD95-0E461E901C30}"/>
    <cellStyle name="20% - Accent4 3 3 4 2" xfId="18607" xr:uid="{A4A15762-6417-4C2B-9B47-E232C572476A}"/>
    <cellStyle name="20% - Accent4 3 3 5" xfId="10056" xr:uid="{55964B72-A782-42A7-8AA5-B5637DF21522}"/>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BCDFF036-921D-455F-BD8A-8988776332DF}"/>
    <cellStyle name="20% - Accent4 3 4 2 3" xfId="12614" xr:uid="{6A9CEDDB-BD81-4D27-82B5-08437840984D}"/>
    <cellStyle name="20% - Accent4 3 4 3" xfId="5360" xr:uid="{00000000-0005-0000-0000-00004E020000}"/>
    <cellStyle name="20% - Accent4 3 4 3 2" xfId="14686" xr:uid="{9FB456D5-24E6-4C69-8446-375942235B61}"/>
    <cellStyle name="20% - Accent4 3 4 4" xfId="10469" xr:uid="{7E94A30C-3FF1-4311-A090-CE59EB12AC38}"/>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BFEAF740-0825-43A5-86C9-7F4CB5595B14}"/>
    <cellStyle name="20% - Accent4 3 5 2 3" xfId="13027" xr:uid="{5D8EBD87-7D0D-4653-A898-DDF94594C325}"/>
    <cellStyle name="20% - Accent4 3 5 3" xfId="5773" xr:uid="{00000000-0005-0000-0000-000052020000}"/>
    <cellStyle name="20% - Accent4 3 5 3 2" xfId="15099" xr:uid="{C68FABB6-BFA7-4605-8AF1-3C932216045E}"/>
    <cellStyle name="20% - Accent4 3 5 4" xfId="10882" xr:uid="{E909EA27-1605-4F0A-B718-81CAB77546B7}"/>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F2FD8206-E5E9-467B-AACB-0AF0E7FDBC4E}"/>
    <cellStyle name="20% - Accent4 3 6 2 3" xfId="13440" xr:uid="{914FC3A2-53C6-4811-80F3-9F4461A9AD7D}"/>
    <cellStyle name="20% - Accent4 3 6 3" xfId="6186" xr:uid="{00000000-0005-0000-0000-000056020000}"/>
    <cellStyle name="20% - Accent4 3 6 3 2" xfId="15512" xr:uid="{1587D886-65DE-4B72-BBFA-019E1BD3D690}"/>
    <cellStyle name="20% - Accent4 3 6 4" xfId="11295" xr:uid="{FAEE0E26-07E1-4043-8EBE-A8A611135D56}"/>
    <cellStyle name="20% - Accent4 3 7" xfId="2293" xr:uid="{00000000-0005-0000-0000-000057020000}"/>
    <cellStyle name="20% - Accent4 3 7 2" xfId="6599" xr:uid="{00000000-0005-0000-0000-000058020000}"/>
    <cellStyle name="20% - Accent4 3 7 2 2" xfId="15925" xr:uid="{3E61C41F-81C7-4076-BA19-A5326FD5409F}"/>
    <cellStyle name="20% - Accent4 3 7 3" xfId="11708" xr:uid="{04DFB4CF-7408-423E-B7B4-536F60261BBC}"/>
    <cellStyle name="20% - Accent4 3 8" xfId="4533" xr:uid="{00000000-0005-0000-0000-000059020000}"/>
    <cellStyle name="20% - Accent4 3 8 2" xfId="13859" xr:uid="{2D91BC80-DA37-4507-B69A-8C1D7A44CEF2}"/>
    <cellStyle name="20% - Accent4 3 9" xfId="8867" xr:uid="{27FB4CEF-7F56-4AEC-B5AC-6B6A1477FBD8}"/>
    <cellStyle name="20% - Accent4 3 9 2" xfId="18191" xr:uid="{4E776E80-0072-4B78-81F0-3FDF7C556A57}"/>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A70B36C3-E296-4A9D-9353-421EC2CD82DC}"/>
    <cellStyle name="20% - Accent4 4 2 2 3" xfId="12203" xr:uid="{3647A76C-B814-4882-B6B1-D064A2FDC91D}"/>
    <cellStyle name="20% - Accent4 4 2 3" xfId="4949" xr:uid="{00000000-0005-0000-0000-00005E020000}"/>
    <cellStyle name="20% - Accent4 4 2 3 2" xfId="14275" xr:uid="{E77774DB-36E4-4D5F-A3AB-BC41983899D5}"/>
    <cellStyle name="20% - Accent4 4 2 4" xfId="9378" xr:uid="{761B3D4A-2751-4646-8A50-05A0DD408525}"/>
    <cellStyle name="20% - Accent4 4 2 4 2" xfId="18693" xr:uid="{6FEEB0ED-8A86-48CA-B61E-425CC211B034}"/>
    <cellStyle name="20% - Accent4 4 2 5" xfId="10058" xr:uid="{E398BFC8-2F73-4FBE-A462-C3F8D3C6F382}"/>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BD6C1C5B-A588-4FEA-BB09-A5B6EAE96F42}"/>
    <cellStyle name="20% - Accent4 4 3 2 3" xfId="12616" xr:uid="{95CCCF9E-E7E5-42E9-B601-EEA793C933CB}"/>
    <cellStyle name="20% - Accent4 4 3 3" xfId="5362" xr:uid="{00000000-0005-0000-0000-000062020000}"/>
    <cellStyle name="20% - Accent4 4 3 3 2" xfId="14688" xr:uid="{CA038967-FA41-4094-9B2D-6B9F2BB40554}"/>
    <cellStyle name="20% - Accent4 4 3 4" xfId="10471" xr:uid="{D8982AB9-7925-41AA-AC95-BAF8C438DB76}"/>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B6682843-F4A1-4F07-99F6-1723512866F4}"/>
    <cellStyle name="20% - Accent4 4 4 2 3" xfId="13029" xr:uid="{797CD181-C7CD-4A36-883C-FEC36A548DAD}"/>
    <cellStyle name="20% - Accent4 4 4 3" xfId="5775" xr:uid="{00000000-0005-0000-0000-000066020000}"/>
    <cellStyle name="20% - Accent4 4 4 3 2" xfId="15101" xr:uid="{761FA8AF-2C6C-4013-AD82-36CEE57230C4}"/>
    <cellStyle name="20% - Accent4 4 4 4" xfId="10884" xr:uid="{C6066014-16F2-4878-812F-CD5E22BDCFFE}"/>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9A815E2A-3175-472E-81AE-9A7B9C9A1329}"/>
    <cellStyle name="20% - Accent4 4 5 2 3" xfId="13442" xr:uid="{2FB88CAE-519F-4818-95A9-B9154FB8E504}"/>
    <cellStyle name="20% - Accent4 4 5 3" xfId="6188" xr:uid="{00000000-0005-0000-0000-00006A020000}"/>
    <cellStyle name="20% - Accent4 4 5 3 2" xfId="15514" xr:uid="{AC9BA018-790C-4DC7-9EE2-F418F4AD64CD}"/>
    <cellStyle name="20% - Accent4 4 5 4" xfId="11297" xr:uid="{BD16AB72-67BA-49CA-B972-9E7D13CC5C95}"/>
    <cellStyle name="20% - Accent4 4 6" xfId="2295" xr:uid="{00000000-0005-0000-0000-00006B020000}"/>
    <cellStyle name="20% - Accent4 4 6 2" xfId="6601" xr:uid="{00000000-0005-0000-0000-00006C020000}"/>
    <cellStyle name="20% - Accent4 4 6 2 2" xfId="15927" xr:uid="{9FFC848B-1FD3-49B8-86CE-3301E1D27728}"/>
    <cellStyle name="20% - Accent4 4 6 3" xfId="11710" xr:uid="{C5E88CEA-008D-4DE0-BD83-EDC29C60B464}"/>
    <cellStyle name="20% - Accent4 4 7" xfId="4535" xr:uid="{00000000-0005-0000-0000-00006D020000}"/>
    <cellStyle name="20% - Accent4 4 7 2" xfId="13861" xr:uid="{135B142E-1357-4E22-AD8B-1CC7232E3FF0}"/>
    <cellStyle name="20% - Accent4 4 8" xfId="8953" xr:uid="{66D1590A-BB3A-4B79-BA94-169F97E79370}"/>
    <cellStyle name="20% - Accent4 4 8 2" xfId="18277" xr:uid="{26AF3F54-4110-4ADC-9258-C67E7CF4C1E3}"/>
    <cellStyle name="20% - Accent4 4 9" xfId="9644" xr:uid="{F95083FA-1448-4115-9476-3E0694B8FA7E}"/>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D29BF88B-A577-4E12-AD01-33B9A5F67339}"/>
    <cellStyle name="20% - Accent4 5 2 3" xfId="12196" xr:uid="{12576DB1-3309-4B33-A28D-D4C5E155617B}"/>
    <cellStyle name="20% - Accent4 5 3" xfId="4942" xr:uid="{00000000-0005-0000-0000-000071020000}"/>
    <cellStyle name="20% - Accent4 5 3 2" xfId="14268" xr:uid="{9C8DEDF4-5DAB-4635-B1D0-BA537EAE281F}"/>
    <cellStyle name="20% - Accent4 5 4" xfId="9186" xr:uid="{E62ED282-F767-404B-ADA1-4F8E5B4D01EB}"/>
    <cellStyle name="20% - Accent4 5 4 2" xfId="18504" xr:uid="{51D5F720-8676-4B62-870F-13197356C700}"/>
    <cellStyle name="20% - Accent4 5 5" xfId="10051" xr:uid="{E637C128-30FD-4089-9FC1-4B40F5C2E2CA}"/>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6E32B0A8-F854-4D7E-B66A-6312AD55D5CB}"/>
    <cellStyle name="20% - Accent4 6 2 3" xfId="12609" xr:uid="{49CE2ACD-FB28-41B4-B90D-5C93B150A5BE}"/>
    <cellStyle name="20% - Accent4 6 3" xfId="5355" xr:uid="{00000000-0005-0000-0000-000075020000}"/>
    <cellStyle name="20% - Accent4 6 3 2" xfId="14681" xr:uid="{7652B96B-C4ED-47CE-A6C1-25108B2D31DF}"/>
    <cellStyle name="20% - Accent4 6 4" xfId="10464" xr:uid="{742D5AF7-1CC5-4D93-AC00-3C22B2E4B250}"/>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00494BF1-DAC6-45E0-9ADC-1324F66ABB9C}"/>
    <cellStyle name="20% - Accent4 7 2 3" xfId="13022" xr:uid="{B0D444C0-32FF-4C77-BA0B-927ED4CECF86}"/>
    <cellStyle name="20% - Accent4 7 3" xfId="5768" xr:uid="{00000000-0005-0000-0000-000079020000}"/>
    <cellStyle name="20% - Accent4 7 3 2" xfId="15094" xr:uid="{56AAA0E7-7B97-4A5A-B7E6-740B3557B6D5}"/>
    <cellStyle name="20% - Accent4 7 4" xfId="10877" xr:uid="{E5A58B48-E906-420C-82AF-A11FFB619B1B}"/>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19712751-70AC-4F8B-85D4-3A8E46BDD827}"/>
    <cellStyle name="20% - Accent4 8 2 3" xfId="13435" xr:uid="{939F360C-E5E2-4E97-9A2F-4CD19371C5FB}"/>
    <cellStyle name="20% - Accent4 8 3" xfId="6181" xr:uid="{00000000-0005-0000-0000-00007D020000}"/>
    <cellStyle name="20% - Accent4 8 3 2" xfId="15507" xr:uid="{D79CECF3-D66E-44C7-8AAD-945954E08200}"/>
    <cellStyle name="20% - Accent4 8 4" xfId="11290" xr:uid="{0EE0F260-7B23-47D5-95DF-DFB6013FD09F}"/>
    <cellStyle name="20% - Accent4 9" xfId="2288" xr:uid="{00000000-0005-0000-0000-00007E020000}"/>
    <cellStyle name="20% - Accent4 9 2" xfId="6594" xr:uid="{00000000-0005-0000-0000-00007F020000}"/>
    <cellStyle name="20% - Accent4 9 2 2" xfId="15920" xr:uid="{B53AF79E-2F67-4D00-BFFB-10AD3F856CBE}"/>
    <cellStyle name="20% - Accent4 9 3" xfId="11703" xr:uid="{F8E45951-A1C1-4912-860C-673886A11FD0}"/>
    <cellStyle name="20% - Accent5" xfId="33" builtinId="46" customBuiltin="1"/>
    <cellStyle name="20% - Accent5 10" xfId="4536" xr:uid="{00000000-0005-0000-0000-000081020000}"/>
    <cellStyle name="20% - Accent5 10 2" xfId="13862" xr:uid="{23269341-4A75-4301-B876-4CFC0741AF7F}"/>
    <cellStyle name="20% - Accent5 11" xfId="8766" xr:uid="{A87C980D-48BC-4AA3-98F7-53B2F02F228C}"/>
    <cellStyle name="20% - Accent5 11 2" xfId="18090" xr:uid="{4F887B7F-E8E9-492C-B7F2-57777BBEEBED}"/>
    <cellStyle name="20% - Accent5 12" xfId="9645" xr:uid="{4BAAA167-0F13-442C-BA01-1BF4FDC360F9}"/>
    <cellStyle name="20% - Accent5 2" xfId="34" xr:uid="{00000000-0005-0000-0000-000082020000}"/>
    <cellStyle name="20% - Accent5 2 10" xfId="8796" xr:uid="{5BBF4372-A7B1-47A0-AC3D-4A60EDC1A5F8}"/>
    <cellStyle name="20% - Accent5 2 10 2" xfId="18120" xr:uid="{69F3426B-EB7A-4C29-96C1-B10D3E828EAF}"/>
    <cellStyle name="20% - Accent5 2 11" xfId="9646" xr:uid="{53518006-57D4-4ECF-825D-757143C4EBF9}"/>
    <cellStyle name="20% - Accent5 2 2" xfId="35" xr:uid="{00000000-0005-0000-0000-000083020000}"/>
    <cellStyle name="20% - Accent5 2 2 10" xfId="9647" xr:uid="{F8F22D8D-1CAD-46A5-8594-6812F3A621D8}"/>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45F8784A-EECD-4197-94B2-E5595C160E90}"/>
    <cellStyle name="20% - Accent5 2 2 2 2 2 3" xfId="12207" xr:uid="{670E5DF7-B98A-41E5-9975-C049C1028CA1}"/>
    <cellStyle name="20% - Accent5 2 2 2 2 3" xfId="4953" xr:uid="{00000000-0005-0000-0000-000088020000}"/>
    <cellStyle name="20% - Accent5 2 2 2 2 3 2" xfId="14279" xr:uid="{A2AA6C89-E7FD-440F-909E-FB3CBB7E9435}"/>
    <cellStyle name="20% - Accent5 2 2 2 2 4" xfId="9531" xr:uid="{5DC5F027-F767-49FB-B9DE-2ACABCF8AC5A}"/>
    <cellStyle name="20% - Accent5 2 2 2 2 4 2" xfId="18846" xr:uid="{BD2B008D-FD55-4927-AFA8-010CAD2AD1C1}"/>
    <cellStyle name="20% - Accent5 2 2 2 2 5" xfId="10062" xr:uid="{98D9F03A-907B-41E0-AC6D-D9AD4F4A5329}"/>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B2EDD977-16CD-4F7A-85C7-7E2A04E6B0FF}"/>
    <cellStyle name="20% - Accent5 2 2 2 3 2 3" xfId="12620" xr:uid="{5B41D4C9-0614-4347-827D-AD5CEB516CED}"/>
    <cellStyle name="20% - Accent5 2 2 2 3 3" xfId="5366" xr:uid="{00000000-0005-0000-0000-00008C020000}"/>
    <cellStyle name="20% - Accent5 2 2 2 3 3 2" xfId="14692" xr:uid="{F9C977E9-0D4A-440A-8522-1854C649D805}"/>
    <cellStyle name="20% - Accent5 2 2 2 3 4" xfId="10475" xr:uid="{267200E6-9CBE-4522-9885-899FAD502239}"/>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1CBB37B9-EF14-4549-89F2-B4B32B777362}"/>
    <cellStyle name="20% - Accent5 2 2 2 4 2 3" xfId="13033" xr:uid="{3B18D9CA-473B-43DA-9490-0CA98638D216}"/>
    <cellStyle name="20% - Accent5 2 2 2 4 3" xfId="5779" xr:uid="{00000000-0005-0000-0000-000090020000}"/>
    <cellStyle name="20% - Accent5 2 2 2 4 3 2" xfId="15105" xr:uid="{D72FDCD5-0FED-4B7B-A4B1-9D4AB39E21E5}"/>
    <cellStyle name="20% - Accent5 2 2 2 4 4" xfId="10888" xr:uid="{5F71A3AD-F381-4622-BAC9-50E6E38C833E}"/>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788264E3-CF90-4F70-A167-F61BCB406A18}"/>
    <cellStyle name="20% - Accent5 2 2 2 5 2 3" xfId="13446" xr:uid="{86117C84-0614-4DD8-B6FE-28DE4B1701D6}"/>
    <cellStyle name="20% - Accent5 2 2 2 5 3" xfId="6192" xr:uid="{00000000-0005-0000-0000-000094020000}"/>
    <cellStyle name="20% - Accent5 2 2 2 5 3 2" xfId="15518" xr:uid="{B12FFBA3-3F34-4B91-A128-A94093520D15}"/>
    <cellStyle name="20% - Accent5 2 2 2 5 4" xfId="11301" xr:uid="{90E096EA-645E-4D37-9B5B-75755A296F9E}"/>
    <cellStyle name="20% - Accent5 2 2 2 6" xfId="2299" xr:uid="{00000000-0005-0000-0000-000095020000}"/>
    <cellStyle name="20% - Accent5 2 2 2 6 2" xfId="6605" xr:uid="{00000000-0005-0000-0000-000096020000}"/>
    <cellStyle name="20% - Accent5 2 2 2 6 2 2" xfId="15931" xr:uid="{FB72E835-F921-4E7F-AD3A-94BCFB746F8C}"/>
    <cellStyle name="20% - Accent5 2 2 2 6 3" xfId="11714" xr:uid="{5D94FD01-2D6A-413D-A2CC-5920BA5F150C}"/>
    <cellStyle name="20% - Accent5 2 2 2 7" xfId="4539" xr:uid="{00000000-0005-0000-0000-000097020000}"/>
    <cellStyle name="20% - Accent5 2 2 2 7 2" xfId="13865" xr:uid="{164BFC85-CEE0-4649-A89E-1388B8B5CF4E}"/>
    <cellStyle name="20% - Accent5 2 2 2 8" xfId="9106" xr:uid="{E7B219CB-83A9-494A-83ED-783719A0F1D9}"/>
    <cellStyle name="20% - Accent5 2 2 2 8 2" xfId="18430" xr:uid="{91D89A9B-8800-42E0-84C4-2090D0FDB7C3}"/>
    <cellStyle name="20% - Accent5 2 2 2 9" xfId="9648" xr:uid="{6B541D9D-83D1-4D75-BDEA-E443D6C0B173}"/>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F9655C49-3022-46AF-94B4-CE0A99EB5A94}"/>
    <cellStyle name="20% - Accent5 2 2 3 2 3" xfId="12206" xr:uid="{3D9181EC-BABC-4D25-8C10-FDC2329712BB}"/>
    <cellStyle name="20% - Accent5 2 2 3 3" xfId="4952" xr:uid="{00000000-0005-0000-0000-00009B020000}"/>
    <cellStyle name="20% - Accent5 2 2 3 3 2" xfId="14278" xr:uid="{47B23DB8-6E65-4386-92E9-DF40DA6E1E26}"/>
    <cellStyle name="20% - Accent5 2 2 3 4" xfId="9324" xr:uid="{6094FEE1-8E2A-466F-9CDF-43EB9EE581FF}"/>
    <cellStyle name="20% - Accent5 2 2 3 4 2" xfId="18639" xr:uid="{5AA44BD7-3CD7-46F9-ADFF-3CE5B92685F5}"/>
    <cellStyle name="20% - Accent5 2 2 3 5" xfId="10061" xr:uid="{A8E50558-A6EB-4F59-B298-72D8028AA754}"/>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8984E455-F5ED-428B-807A-30DF09E06E0A}"/>
    <cellStyle name="20% - Accent5 2 2 4 2 3" xfId="12619" xr:uid="{DDDDA081-A830-412C-BB14-17E1B099AAD6}"/>
    <cellStyle name="20% - Accent5 2 2 4 3" xfId="5365" xr:uid="{00000000-0005-0000-0000-00009F020000}"/>
    <cellStyle name="20% - Accent5 2 2 4 3 2" xfId="14691" xr:uid="{F695AC36-C2CD-450D-BBE0-B9A7A3241CED}"/>
    <cellStyle name="20% - Accent5 2 2 4 4" xfId="10474" xr:uid="{7E8918C1-7D4A-4249-8FE3-45FEBDA50958}"/>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16FA5A4B-5E26-4B7B-874E-E781B07C2E9E}"/>
    <cellStyle name="20% - Accent5 2 2 5 2 3" xfId="13032" xr:uid="{553659F8-F52D-4885-96C8-CC71257269F3}"/>
    <cellStyle name="20% - Accent5 2 2 5 3" xfId="5778" xr:uid="{00000000-0005-0000-0000-0000A3020000}"/>
    <cellStyle name="20% - Accent5 2 2 5 3 2" xfId="15104" xr:uid="{3EACDB7D-8E13-4C8C-AEA8-D564D33F4119}"/>
    <cellStyle name="20% - Accent5 2 2 5 4" xfId="10887" xr:uid="{C97F6994-B272-4802-B06E-912A1023B7E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43DA9A08-B3C9-4589-BAAA-FE6992928DB8}"/>
    <cellStyle name="20% - Accent5 2 2 6 2 3" xfId="13445" xr:uid="{E2613520-24D5-4AA1-8393-3D025A8AEE1A}"/>
    <cellStyle name="20% - Accent5 2 2 6 3" xfId="6191" xr:uid="{00000000-0005-0000-0000-0000A7020000}"/>
    <cellStyle name="20% - Accent5 2 2 6 3 2" xfId="15517" xr:uid="{6EA5236D-2FA4-4EB7-8A42-DE390E3A1617}"/>
    <cellStyle name="20% - Accent5 2 2 6 4" xfId="11300" xr:uid="{B8FE4D25-75B3-484F-A624-1A0FCB8ED1CD}"/>
    <cellStyle name="20% - Accent5 2 2 7" xfId="2298" xr:uid="{00000000-0005-0000-0000-0000A8020000}"/>
    <cellStyle name="20% - Accent5 2 2 7 2" xfId="6604" xr:uid="{00000000-0005-0000-0000-0000A9020000}"/>
    <cellStyle name="20% - Accent5 2 2 7 2 2" xfId="15930" xr:uid="{23A5C6D3-8D4E-4660-998A-1F418E3786BC}"/>
    <cellStyle name="20% - Accent5 2 2 7 3" xfId="11713" xr:uid="{1647E1DC-EFBB-4166-99EC-AC75F8EC3281}"/>
    <cellStyle name="20% - Accent5 2 2 8" xfId="4538" xr:uid="{00000000-0005-0000-0000-0000AA020000}"/>
    <cellStyle name="20% - Accent5 2 2 8 2" xfId="13864" xr:uid="{7169A679-9D2E-4871-AD66-1EBA5430A252}"/>
    <cellStyle name="20% - Accent5 2 2 9" xfId="8899" xr:uid="{0E8F9EC8-D565-41C9-B716-FF597FFF35B9}"/>
    <cellStyle name="20% - Accent5 2 2 9 2" xfId="18223" xr:uid="{CB991A18-D7DB-419D-A512-2413F9A16E7E}"/>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50CFD806-3EE5-4A5A-9C44-1139BFD2ECA3}"/>
    <cellStyle name="20% - Accent5 2 3 2 2 3" xfId="12208" xr:uid="{CE591CF4-4D78-48C3-9F5A-AD842BD1A766}"/>
    <cellStyle name="20% - Accent5 2 3 2 3" xfId="4954" xr:uid="{00000000-0005-0000-0000-0000AF020000}"/>
    <cellStyle name="20% - Accent5 2 3 2 3 2" xfId="14280" xr:uid="{5D1F5002-EF88-46A8-AB00-9F23B7C0C506}"/>
    <cellStyle name="20% - Accent5 2 3 2 4" xfId="9428" xr:uid="{B7820ACF-E1F3-4653-B5DD-FD829B169E84}"/>
    <cellStyle name="20% - Accent5 2 3 2 4 2" xfId="18743" xr:uid="{D6F532F7-EBCB-4CFA-8520-11571D0EE954}"/>
    <cellStyle name="20% - Accent5 2 3 2 5" xfId="10063" xr:uid="{F93FB859-5224-4DCD-A2C8-1F46CEA4346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41739B4E-113D-4588-A88D-37379B359328}"/>
    <cellStyle name="20% - Accent5 2 3 3 2 3" xfId="12621" xr:uid="{074771F5-520B-429B-B363-3FC0BC4F8EE0}"/>
    <cellStyle name="20% - Accent5 2 3 3 3" xfId="5367" xr:uid="{00000000-0005-0000-0000-0000B3020000}"/>
    <cellStyle name="20% - Accent5 2 3 3 3 2" xfId="14693" xr:uid="{C24CC5C0-9C59-4EA5-A358-48F24D216786}"/>
    <cellStyle name="20% - Accent5 2 3 3 4" xfId="10476" xr:uid="{7D591B02-6B23-4725-9B96-577A7EBF51A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98404EA8-3316-4FA4-AEC4-C41E3BCF4237}"/>
    <cellStyle name="20% - Accent5 2 3 4 2 3" xfId="13034" xr:uid="{DB379D39-5DE4-47AF-A69F-547C25DE37C5}"/>
    <cellStyle name="20% - Accent5 2 3 4 3" xfId="5780" xr:uid="{00000000-0005-0000-0000-0000B7020000}"/>
    <cellStyle name="20% - Accent5 2 3 4 3 2" xfId="15106" xr:uid="{FB2DBFEB-ECD8-4022-99B6-2BB8AD26BFA7}"/>
    <cellStyle name="20% - Accent5 2 3 4 4" xfId="10889" xr:uid="{DDB0805E-8321-45AD-B52F-759A8F2E216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D466EBBF-3CE6-4638-86CC-245D09A50172}"/>
    <cellStyle name="20% - Accent5 2 3 5 2 3" xfId="13447" xr:uid="{9DAB8D22-C9FA-4831-A5CB-E971C399D63F}"/>
    <cellStyle name="20% - Accent5 2 3 5 3" xfId="6193" xr:uid="{00000000-0005-0000-0000-0000BB020000}"/>
    <cellStyle name="20% - Accent5 2 3 5 3 2" xfId="15519" xr:uid="{18707497-F6CF-458B-AA2D-7D22CDD13C53}"/>
    <cellStyle name="20% - Accent5 2 3 5 4" xfId="11302" xr:uid="{41E188A3-ACB9-4ED6-804C-E590F4B6FF50}"/>
    <cellStyle name="20% - Accent5 2 3 6" xfId="2300" xr:uid="{00000000-0005-0000-0000-0000BC020000}"/>
    <cellStyle name="20% - Accent5 2 3 6 2" xfId="6606" xr:uid="{00000000-0005-0000-0000-0000BD020000}"/>
    <cellStyle name="20% - Accent5 2 3 6 2 2" xfId="15932" xr:uid="{4D820D25-BFC4-493A-94F4-170364DD61F7}"/>
    <cellStyle name="20% - Accent5 2 3 6 3" xfId="11715" xr:uid="{A2557A75-9B9A-4D2A-AC66-D5DB095246E0}"/>
    <cellStyle name="20% - Accent5 2 3 7" xfId="4540" xr:uid="{00000000-0005-0000-0000-0000BE020000}"/>
    <cellStyle name="20% - Accent5 2 3 7 2" xfId="13866" xr:uid="{E08140FC-D616-4595-93ED-6410C069E1BE}"/>
    <cellStyle name="20% - Accent5 2 3 8" xfId="9003" xr:uid="{9830E7D1-E361-4BA3-A986-3DCE647EEF8E}"/>
    <cellStyle name="20% - Accent5 2 3 8 2" xfId="18327" xr:uid="{EFFEB24D-968A-42F5-8005-F96D92091593}"/>
    <cellStyle name="20% - Accent5 2 3 9" xfId="9649" xr:uid="{495BBE47-8095-4F2A-BEF5-30C64C03E121}"/>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7C276E8F-82B1-4DB0-8EE8-30FC940B3B9B}"/>
    <cellStyle name="20% - Accent5 2 4 2 3" xfId="12205" xr:uid="{F40BAF75-2951-478C-A1A0-80D5194B54CC}"/>
    <cellStyle name="20% - Accent5 2 4 3" xfId="4951" xr:uid="{00000000-0005-0000-0000-0000C2020000}"/>
    <cellStyle name="20% - Accent5 2 4 3 2" xfId="14277" xr:uid="{01D6164E-C6E6-4ED9-8907-87541852B61D}"/>
    <cellStyle name="20% - Accent5 2 4 4" xfId="9220" xr:uid="{A7B88928-FE72-4C1B-B74E-3CA76DBA84CC}"/>
    <cellStyle name="20% - Accent5 2 4 4 2" xfId="18536" xr:uid="{8B8228F0-90BD-4400-B6AD-9B2AA95F4BAE}"/>
    <cellStyle name="20% - Accent5 2 4 5" xfId="10060" xr:uid="{8C8E9B5B-203E-4615-BBA8-2E67AB025CE1}"/>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D94BD896-F1D5-47D5-936B-0F8E4F63C696}"/>
    <cellStyle name="20% - Accent5 2 5 2 3" xfId="12618" xr:uid="{F33E1BE6-58F6-4F23-BA36-AE4A089E66F0}"/>
    <cellStyle name="20% - Accent5 2 5 3" xfId="5364" xr:uid="{00000000-0005-0000-0000-0000C6020000}"/>
    <cellStyle name="20% - Accent5 2 5 3 2" xfId="14690" xr:uid="{7B88A05E-E752-4E1E-9A98-08A374F46631}"/>
    <cellStyle name="20% - Accent5 2 5 4" xfId="10473" xr:uid="{5002AEE9-2ECA-4A7B-A0E2-F69CD75E2C22}"/>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168E6631-9CFE-4B90-A02E-64E78D21D7BD}"/>
    <cellStyle name="20% - Accent5 2 6 2 3" xfId="13031" xr:uid="{B0ECC666-DD13-4C19-9734-7EB6B5B3A69C}"/>
    <cellStyle name="20% - Accent5 2 6 3" xfId="5777" xr:uid="{00000000-0005-0000-0000-0000CA020000}"/>
    <cellStyle name="20% - Accent5 2 6 3 2" xfId="15103" xr:uid="{174EEFE7-C823-4B14-A550-15E57416C10E}"/>
    <cellStyle name="20% - Accent5 2 6 4" xfId="10886" xr:uid="{07197076-AE75-40EB-A851-0BB5284C797B}"/>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F6FCC78A-9FDE-49EE-9C68-428A37B7F9D2}"/>
    <cellStyle name="20% - Accent5 2 7 2 3" xfId="13444" xr:uid="{A1743314-516B-416F-A2C3-56577F2EE2FD}"/>
    <cellStyle name="20% - Accent5 2 7 3" xfId="6190" xr:uid="{00000000-0005-0000-0000-0000CE020000}"/>
    <cellStyle name="20% - Accent5 2 7 3 2" xfId="15516" xr:uid="{BDDAEF35-A6EC-42EC-ACD8-7FB786016137}"/>
    <cellStyle name="20% - Accent5 2 7 4" xfId="11299" xr:uid="{A223A0CF-2EDA-4DCD-8F6F-56E020D19BE7}"/>
    <cellStyle name="20% - Accent5 2 8" xfId="2297" xr:uid="{00000000-0005-0000-0000-0000CF020000}"/>
    <cellStyle name="20% - Accent5 2 8 2" xfId="6603" xr:uid="{00000000-0005-0000-0000-0000D0020000}"/>
    <cellStyle name="20% - Accent5 2 8 2 2" xfId="15929" xr:uid="{203304FC-5892-41CA-A846-4DF568909A41}"/>
    <cellStyle name="20% - Accent5 2 8 3" xfId="11712" xr:uid="{60D24F09-942F-4B82-BA12-2C171403DAC2}"/>
    <cellStyle name="20% - Accent5 2 9" xfId="4537" xr:uid="{00000000-0005-0000-0000-0000D1020000}"/>
    <cellStyle name="20% - Accent5 2 9 2" xfId="13863" xr:uid="{E7170D94-6540-458E-8938-E19E2A76E02D}"/>
    <cellStyle name="20% - Accent5 3" xfId="38" xr:uid="{00000000-0005-0000-0000-0000D2020000}"/>
    <cellStyle name="20% - Accent5 3 10" xfId="9650" xr:uid="{25CBAF87-BADF-4A16-878B-F1FF788693C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84EC2FF0-C70C-4727-84F8-68B9407E22BF}"/>
    <cellStyle name="20% - Accent5 3 2 2 2 3" xfId="12210" xr:uid="{7C217B49-B46C-46A2-AD2D-8044FC72E91C}"/>
    <cellStyle name="20% - Accent5 3 2 2 3" xfId="4956" xr:uid="{00000000-0005-0000-0000-0000D7020000}"/>
    <cellStyle name="20% - Accent5 3 2 2 3 2" xfId="14282" xr:uid="{987AC0A7-03E3-4814-97B2-C54D569B86C3}"/>
    <cellStyle name="20% - Accent5 3 2 2 4" xfId="9501" xr:uid="{82A590A5-96D4-476E-8E6F-D81EEE08C409}"/>
    <cellStyle name="20% - Accent5 3 2 2 4 2" xfId="18816" xr:uid="{62DE9398-3C22-4650-8902-B73E057473B8}"/>
    <cellStyle name="20% - Accent5 3 2 2 5" xfId="10065" xr:uid="{B7B42094-4BB9-4D7E-A0EC-592925E36995}"/>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47DD658D-6530-4E56-A804-5E4A6E725F1B}"/>
    <cellStyle name="20% - Accent5 3 2 3 2 3" xfId="12623" xr:uid="{876A1125-45D7-4EB3-B2DA-556DFE60B136}"/>
    <cellStyle name="20% - Accent5 3 2 3 3" xfId="5369" xr:uid="{00000000-0005-0000-0000-0000DB020000}"/>
    <cellStyle name="20% - Accent5 3 2 3 3 2" xfId="14695" xr:uid="{3B30D83A-421B-4958-A270-5DEBB994FBF3}"/>
    <cellStyle name="20% - Accent5 3 2 3 4" xfId="10478" xr:uid="{AAF804FE-E3D3-4A37-A047-21C35529AC4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C958E163-53AA-49AB-B781-190FEEFDD589}"/>
    <cellStyle name="20% - Accent5 3 2 4 2 3" xfId="13036" xr:uid="{6B4FF270-30F6-43F4-921C-1AFD1E47B636}"/>
    <cellStyle name="20% - Accent5 3 2 4 3" xfId="5782" xr:uid="{00000000-0005-0000-0000-0000DF020000}"/>
    <cellStyle name="20% - Accent5 3 2 4 3 2" xfId="15108" xr:uid="{AF54C6D8-67F6-4122-853C-ECA01A19343A}"/>
    <cellStyle name="20% - Accent5 3 2 4 4" xfId="10891" xr:uid="{019B21B1-19A7-48C2-9756-694EC53FFC63}"/>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2A0BC33E-E8F4-4C1D-A119-7AC5B041E1D8}"/>
    <cellStyle name="20% - Accent5 3 2 5 2 3" xfId="13449" xr:uid="{CE45D037-3127-47C1-A5DD-887CE360553C}"/>
    <cellStyle name="20% - Accent5 3 2 5 3" xfId="6195" xr:uid="{00000000-0005-0000-0000-0000E3020000}"/>
    <cellStyle name="20% - Accent5 3 2 5 3 2" xfId="15521" xr:uid="{37718169-DA81-4D25-B345-7AAEC7A3E496}"/>
    <cellStyle name="20% - Accent5 3 2 5 4" xfId="11304" xr:uid="{8CCA2631-847C-4D12-9562-DA69AF72989B}"/>
    <cellStyle name="20% - Accent5 3 2 6" xfId="2302" xr:uid="{00000000-0005-0000-0000-0000E4020000}"/>
    <cellStyle name="20% - Accent5 3 2 6 2" xfId="6608" xr:uid="{00000000-0005-0000-0000-0000E5020000}"/>
    <cellStyle name="20% - Accent5 3 2 6 2 2" xfId="15934" xr:uid="{0BCA05C4-F27D-4FB5-ABE4-2924DBE0F38A}"/>
    <cellStyle name="20% - Accent5 3 2 6 3" xfId="11717" xr:uid="{68041509-3291-47E2-9650-5B14279F98F5}"/>
    <cellStyle name="20% - Accent5 3 2 7" xfId="4542" xr:uid="{00000000-0005-0000-0000-0000E6020000}"/>
    <cellStyle name="20% - Accent5 3 2 7 2" xfId="13868" xr:uid="{CA82CA79-C1A4-49BC-959E-EC2F52C0FB85}"/>
    <cellStyle name="20% - Accent5 3 2 8" xfId="9076" xr:uid="{BEDF1D01-35A3-4513-9363-9C1AFC748168}"/>
    <cellStyle name="20% - Accent5 3 2 8 2" xfId="18400" xr:uid="{FDF303E5-3218-48EB-979F-42D696ABF381}"/>
    <cellStyle name="20% - Accent5 3 2 9" xfId="9651" xr:uid="{894D6CF5-473D-4B8D-B797-885A743A6ACC}"/>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41878966-79E8-4248-A5DB-500081AFFBFA}"/>
    <cellStyle name="20% - Accent5 3 3 2 3" xfId="12209" xr:uid="{DF60C312-5A30-443A-9222-4D761FE32002}"/>
    <cellStyle name="20% - Accent5 3 3 3" xfId="4955" xr:uid="{00000000-0005-0000-0000-0000EA020000}"/>
    <cellStyle name="20% - Accent5 3 3 3 2" xfId="14281" xr:uid="{D7560C8E-2AE6-4D21-B7A5-6EE72F2CBD4E}"/>
    <cellStyle name="20% - Accent5 3 3 4" xfId="9294" xr:uid="{124960EA-C7A4-4686-BF67-47D6C57F7EEB}"/>
    <cellStyle name="20% - Accent5 3 3 4 2" xfId="18609" xr:uid="{3484E0E7-5EA5-4275-8189-7EA8B83742D5}"/>
    <cellStyle name="20% - Accent5 3 3 5" xfId="10064" xr:uid="{2F363C16-45EF-4D9C-9171-414FE32C418D}"/>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49168336-2E2C-44E5-A88F-2D9A294D6D19}"/>
    <cellStyle name="20% - Accent5 3 4 2 3" xfId="12622" xr:uid="{FCFE1448-C4CF-4479-B1C4-503222229700}"/>
    <cellStyle name="20% - Accent5 3 4 3" xfId="5368" xr:uid="{00000000-0005-0000-0000-0000EE020000}"/>
    <cellStyle name="20% - Accent5 3 4 3 2" xfId="14694" xr:uid="{C5512DFC-DCE6-4308-B19E-1C72AB637870}"/>
    <cellStyle name="20% - Accent5 3 4 4" xfId="10477" xr:uid="{063C7C8B-D244-4099-AA18-19B5ED859E44}"/>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6B270005-406B-486D-82FF-35CFCB68383D}"/>
    <cellStyle name="20% - Accent5 3 5 2 3" xfId="13035" xr:uid="{0D5B6B24-CA4B-42D5-9763-3B3390694E88}"/>
    <cellStyle name="20% - Accent5 3 5 3" xfId="5781" xr:uid="{00000000-0005-0000-0000-0000F2020000}"/>
    <cellStyle name="20% - Accent5 3 5 3 2" xfId="15107" xr:uid="{53163EE7-6D07-4F4C-BA43-E10AFFFA13D1}"/>
    <cellStyle name="20% - Accent5 3 5 4" xfId="10890" xr:uid="{A7BDF96C-FC13-4777-A50B-F133D5652D8A}"/>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C82B7B43-6C4E-4DDA-A627-5D3DE47921A0}"/>
    <cellStyle name="20% - Accent5 3 6 2 3" xfId="13448" xr:uid="{F7610543-B600-4679-8FDC-F7FC672F1F9C}"/>
    <cellStyle name="20% - Accent5 3 6 3" xfId="6194" xr:uid="{00000000-0005-0000-0000-0000F6020000}"/>
    <cellStyle name="20% - Accent5 3 6 3 2" xfId="15520" xr:uid="{7A4E8DD9-53FA-4C69-93A5-EC94A7D9DDC8}"/>
    <cellStyle name="20% - Accent5 3 6 4" xfId="11303" xr:uid="{687E3791-9A4A-4F0F-89F7-C46E59B44ED0}"/>
    <cellStyle name="20% - Accent5 3 7" xfId="2301" xr:uid="{00000000-0005-0000-0000-0000F7020000}"/>
    <cellStyle name="20% - Accent5 3 7 2" xfId="6607" xr:uid="{00000000-0005-0000-0000-0000F8020000}"/>
    <cellStyle name="20% - Accent5 3 7 2 2" xfId="15933" xr:uid="{F4B7E9FF-4C9A-4EAA-A715-02742CF02764}"/>
    <cellStyle name="20% - Accent5 3 7 3" xfId="11716" xr:uid="{14DEFCB9-5754-43CB-890C-D7F66B9759A2}"/>
    <cellStyle name="20% - Accent5 3 8" xfId="4541" xr:uid="{00000000-0005-0000-0000-0000F9020000}"/>
    <cellStyle name="20% - Accent5 3 8 2" xfId="13867" xr:uid="{9A7A30B1-2A22-48E6-A0DE-F0D36AFC8933}"/>
    <cellStyle name="20% - Accent5 3 9" xfId="8869" xr:uid="{43CC8A87-AEEB-4E51-98E7-F8AE8D86AD2B}"/>
    <cellStyle name="20% - Accent5 3 9 2" xfId="18193" xr:uid="{80A25318-D05C-423A-AB91-B2186DD3BCFF}"/>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D7C4B5C1-462C-427C-98EE-D6BD5DB845A0}"/>
    <cellStyle name="20% - Accent5 4 2 2 3" xfId="12211" xr:uid="{A15EF982-B251-49FB-B6EF-9DED0D1714B1}"/>
    <cellStyle name="20% - Accent5 4 2 3" xfId="4957" xr:uid="{00000000-0005-0000-0000-0000FE020000}"/>
    <cellStyle name="20% - Accent5 4 2 3 2" xfId="14283" xr:uid="{CE61AAE2-555A-4150-AD21-B57887BA9B4A}"/>
    <cellStyle name="20% - Accent5 4 2 4" xfId="9380" xr:uid="{1C764D65-D71C-4646-AD86-15F83BDBF498}"/>
    <cellStyle name="20% - Accent5 4 2 4 2" xfId="18695" xr:uid="{D46B19CE-CB88-4A99-A0BC-BE12CF066E96}"/>
    <cellStyle name="20% - Accent5 4 2 5" xfId="10066" xr:uid="{4A2ACCE2-32A4-45F6-A565-4AC0CA97FDD2}"/>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4B8D0E37-66A9-4987-B513-6D3A8C29B97D}"/>
    <cellStyle name="20% - Accent5 4 3 2 3" xfId="12624" xr:uid="{2614F4AF-75BB-4220-83F1-7D4D7EC2CBC1}"/>
    <cellStyle name="20% - Accent5 4 3 3" xfId="5370" xr:uid="{00000000-0005-0000-0000-000002030000}"/>
    <cellStyle name="20% - Accent5 4 3 3 2" xfId="14696" xr:uid="{A1399314-574F-46F0-9978-95C54DF1CF4A}"/>
    <cellStyle name="20% - Accent5 4 3 4" xfId="10479" xr:uid="{FCE59889-0179-497E-89E3-BEFA5BD31BFF}"/>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FD5065B1-FE6C-47FE-B5A6-D4B59E496E4E}"/>
    <cellStyle name="20% - Accent5 4 4 2 3" xfId="13037" xr:uid="{2088EFA6-4D11-4271-8992-FEC7DDB6FCF8}"/>
    <cellStyle name="20% - Accent5 4 4 3" xfId="5783" xr:uid="{00000000-0005-0000-0000-000006030000}"/>
    <cellStyle name="20% - Accent5 4 4 3 2" xfId="15109" xr:uid="{AFFCB957-6EE4-4FD3-A106-103704760DBC}"/>
    <cellStyle name="20% - Accent5 4 4 4" xfId="10892" xr:uid="{B66C3556-BA36-4289-987D-EF83CD3FE642}"/>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DD403687-CD1B-496A-9519-DFD07CA90557}"/>
    <cellStyle name="20% - Accent5 4 5 2 3" xfId="13450" xr:uid="{B4685A42-5A68-4CCE-B419-94855573049D}"/>
    <cellStyle name="20% - Accent5 4 5 3" xfId="6196" xr:uid="{00000000-0005-0000-0000-00000A030000}"/>
    <cellStyle name="20% - Accent5 4 5 3 2" xfId="15522" xr:uid="{81AFFEC5-2488-4214-AD64-6940FB5A33B7}"/>
    <cellStyle name="20% - Accent5 4 5 4" xfId="11305" xr:uid="{5AE3B56A-6476-48C4-BC0E-213BF49DE90A}"/>
    <cellStyle name="20% - Accent5 4 6" xfId="2303" xr:uid="{00000000-0005-0000-0000-00000B030000}"/>
    <cellStyle name="20% - Accent5 4 6 2" xfId="6609" xr:uid="{00000000-0005-0000-0000-00000C030000}"/>
    <cellStyle name="20% - Accent5 4 6 2 2" xfId="15935" xr:uid="{E0499A92-BBF1-48D0-B57E-67F200971FA1}"/>
    <cellStyle name="20% - Accent5 4 6 3" xfId="11718" xr:uid="{F58DA173-C51A-4DAF-8DA1-7C3DEC3EEB8A}"/>
    <cellStyle name="20% - Accent5 4 7" xfId="4543" xr:uid="{00000000-0005-0000-0000-00000D030000}"/>
    <cellStyle name="20% - Accent5 4 7 2" xfId="13869" xr:uid="{B568152A-F99F-4524-B71F-AEE2644B1082}"/>
    <cellStyle name="20% - Accent5 4 8" xfId="8955" xr:uid="{8AD43D76-8747-44EC-8D3B-2720ADF9D1B1}"/>
    <cellStyle name="20% - Accent5 4 8 2" xfId="18279" xr:uid="{746F884A-5670-4C54-A8CE-CFACC2FDF10C}"/>
    <cellStyle name="20% - Accent5 4 9" xfId="9652" xr:uid="{D20155D5-975B-4004-984B-7BB79FB33749}"/>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46BA09F7-740F-4FBA-B593-820B4E9228AF}"/>
    <cellStyle name="20% - Accent5 5 2 3" xfId="12204" xr:uid="{7E84991A-6091-4FC1-A534-F3180CC730C2}"/>
    <cellStyle name="20% - Accent5 5 3" xfId="4950" xr:uid="{00000000-0005-0000-0000-000011030000}"/>
    <cellStyle name="20% - Accent5 5 3 2" xfId="14276" xr:uid="{7F67EFE9-0487-473B-A2EB-29E1AC3D7004}"/>
    <cellStyle name="20% - Accent5 5 4" xfId="9188" xr:uid="{164CF7CE-7706-426C-90AA-4867A06E28BD}"/>
    <cellStyle name="20% - Accent5 5 4 2" xfId="18506" xr:uid="{5BF6584F-3854-4170-B367-F76BBF6D8304}"/>
    <cellStyle name="20% - Accent5 5 5" xfId="10059" xr:uid="{68F2E73C-934A-4B5C-9C4A-EE56546A02D5}"/>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1756EBC7-BB6E-4A70-B87F-371C383261D6}"/>
    <cellStyle name="20% - Accent5 6 2 3" xfId="12617" xr:uid="{F7F4827E-9482-44BE-841F-65A5F68F4E09}"/>
    <cellStyle name="20% - Accent5 6 3" xfId="5363" xr:uid="{00000000-0005-0000-0000-000015030000}"/>
    <cellStyle name="20% - Accent5 6 3 2" xfId="14689" xr:uid="{0BE30DFD-4B29-46CA-8238-114671C3975B}"/>
    <cellStyle name="20% - Accent5 6 4" xfId="10472" xr:uid="{DC6629BC-83B6-43C9-B05A-06CC181DD118}"/>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6871E65C-3129-4C67-B482-27102362C1CF}"/>
    <cellStyle name="20% - Accent5 7 2 3" xfId="13030" xr:uid="{9310AE75-1CFD-4DDB-9FF2-6A88D614BD93}"/>
    <cellStyle name="20% - Accent5 7 3" xfId="5776" xr:uid="{00000000-0005-0000-0000-000019030000}"/>
    <cellStyle name="20% - Accent5 7 3 2" xfId="15102" xr:uid="{3E71E948-482D-4D38-9581-C579310A2B47}"/>
    <cellStyle name="20% - Accent5 7 4" xfId="10885" xr:uid="{6064D5E2-6166-481F-8E81-A01B659D27DA}"/>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BD7EBFE4-05EE-4A4E-A910-01DC01E4E4F6}"/>
    <cellStyle name="20% - Accent5 8 2 3" xfId="13443" xr:uid="{C9CCF19F-A0FD-4D08-A682-7A5A1518E443}"/>
    <cellStyle name="20% - Accent5 8 3" xfId="6189" xr:uid="{00000000-0005-0000-0000-00001D030000}"/>
    <cellStyle name="20% - Accent5 8 3 2" xfId="15515" xr:uid="{1FCFB042-82FA-41C1-90C4-D03DE4DE360E}"/>
    <cellStyle name="20% - Accent5 8 4" xfId="11298" xr:uid="{97081903-4E55-41B8-8EA4-C16747CE5C7A}"/>
    <cellStyle name="20% - Accent5 9" xfId="2296" xr:uid="{00000000-0005-0000-0000-00001E030000}"/>
    <cellStyle name="20% - Accent5 9 2" xfId="6602" xr:uid="{00000000-0005-0000-0000-00001F030000}"/>
    <cellStyle name="20% - Accent5 9 2 2" xfId="15928" xr:uid="{24582FCD-F123-43E8-A6F4-912DF100D49E}"/>
    <cellStyle name="20% - Accent5 9 3" xfId="11711" xr:uid="{2F321FF3-2978-41B6-9227-8DBD7EEAF30F}"/>
    <cellStyle name="20% - Accent6" xfId="41" builtinId="50" customBuiltin="1"/>
    <cellStyle name="20% - Accent6 10" xfId="4544" xr:uid="{00000000-0005-0000-0000-000021030000}"/>
    <cellStyle name="20% - Accent6 10 2" xfId="13870" xr:uid="{84FDF4E4-7525-446B-8ED4-1C0AAA83F953}"/>
    <cellStyle name="20% - Accent6 11" xfId="8768" xr:uid="{5A1F1293-A19F-445F-908A-D9DBB6265CA0}"/>
    <cellStyle name="20% - Accent6 11 2" xfId="18092" xr:uid="{4D8E0F67-87C2-4313-BE63-91963262DD2F}"/>
    <cellStyle name="20% - Accent6 12" xfId="9653" xr:uid="{47BDE7F3-90EA-48D1-9BE9-E6EB4BB3A1AF}"/>
    <cellStyle name="20% - Accent6 2" xfId="42" xr:uid="{00000000-0005-0000-0000-000022030000}"/>
    <cellStyle name="20% - Accent6 2 10" xfId="8795" xr:uid="{9A35B19E-8802-437A-ABDC-7B06A4E07F58}"/>
    <cellStyle name="20% - Accent6 2 10 2" xfId="18119" xr:uid="{6B799D7C-2127-4502-ACBC-89057521C9F9}"/>
    <cellStyle name="20% - Accent6 2 11" xfId="9654" xr:uid="{FC90A40C-4FFC-4282-98F1-6A69977FF2D6}"/>
    <cellStyle name="20% - Accent6 2 2" xfId="43" xr:uid="{00000000-0005-0000-0000-000023030000}"/>
    <cellStyle name="20% - Accent6 2 2 10" xfId="9655" xr:uid="{41ADAB6F-B1F9-4D51-BF84-2A19BE33479C}"/>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0AA0B4BD-3A89-4068-B21D-B3A472BB4203}"/>
    <cellStyle name="20% - Accent6 2 2 2 2 2 3" xfId="12215" xr:uid="{98CF10D2-A8A9-4253-B62D-6C3D518ACB4B}"/>
    <cellStyle name="20% - Accent6 2 2 2 2 3" xfId="4961" xr:uid="{00000000-0005-0000-0000-000028030000}"/>
    <cellStyle name="20% - Accent6 2 2 2 2 3 2" xfId="14287" xr:uid="{07898303-847C-46D4-A37A-3276FB6425F2}"/>
    <cellStyle name="20% - Accent6 2 2 2 2 4" xfId="9530" xr:uid="{AFD3EE0E-70EF-4C1B-B994-7B8E7E8187BC}"/>
    <cellStyle name="20% - Accent6 2 2 2 2 4 2" xfId="18845" xr:uid="{B6905701-3D92-42D8-BFF8-561149F8162B}"/>
    <cellStyle name="20% - Accent6 2 2 2 2 5" xfId="10070" xr:uid="{E91F1316-CF03-4DB6-AC18-5411E4F405B1}"/>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968F45CE-E197-4061-B3D4-DD665D140605}"/>
    <cellStyle name="20% - Accent6 2 2 2 3 2 3" xfId="12628" xr:uid="{CCEB1EEA-5EF1-4DE7-953F-AAC46063B6C8}"/>
    <cellStyle name="20% - Accent6 2 2 2 3 3" xfId="5374" xr:uid="{00000000-0005-0000-0000-00002C030000}"/>
    <cellStyle name="20% - Accent6 2 2 2 3 3 2" xfId="14700" xr:uid="{82E99831-03CA-4040-9526-BF6961819341}"/>
    <cellStyle name="20% - Accent6 2 2 2 3 4" xfId="10483" xr:uid="{0DAF3770-F669-4355-99C6-7BA931205A2E}"/>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85C7942D-4856-4004-B662-B2B4E1F53B60}"/>
    <cellStyle name="20% - Accent6 2 2 2 4 2 3" xfId="13041" xr:uid="{FACF57DC-A723-48F3-AD93-7C71E8B29628}"/>
    <cellStyle name="20% - Accent6 2 2 2 4 3" xfId="5787" xr:uid="{00000000-0005-0000-0000-000030030000}"/>
    <cellStyle name="20% - Accent6 2 2 2 4 3 2" xfId="15113" xr:uid="{6BA04492-8A58-471B-8133-4016B51001EB}"/>
    <cellStyle name="20% - Accent6 2 2 2 4 4" xfId="10896" xr:uid="{7F634406-8A2E-4B2B-957E-9AE723350ED5}"/>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3AA9CE39-9FB3-4A89-B2ED-4315840E755E}"/>
    <cellStyle name="20% - Accent6 2 2 2 5 2 3" xfId="13454" xr:uid="{C5A0F446-E638-47FC-9874-5DFAE35C0505}"/>
    <cellStyle name="20% - Accent6 2 2 2 5 3" xfId="6200" xr:uid="{00000000-0005-0000-0000-000034030000}"/>
    <cellStyle name="20% - Accent6 2 2 2 5 3 2" xfId="15526" xr:uid="{35AE8D31-963E-44E5-AD3B-1A9B5C38D0E0}"/>
    <cellStyle name="20% - Accent6 2 2 2 5 4" xfId="11309" xr:uid="{231951AB-B93C-415E-80C6-0E0DF59A81AE}"/>
    <cellStyle name="20% - Accent6 2 2 2 6" xfId="2307" xr:uid="{00000000-0005-0000-0000-000035030000}"/>
    <cellStyle name="20% - Accent6 2 2 2 6 2" xfId="6613" xr:uid="{00000000-0005-0000-0000-000036030000}"/>
    <cellStyle name="20% - Accent6 2 2 2 6 2 2" xfId="15939" xr:uid="{8DD9D249-67B5-4E19-8B0C-C9F191BEE687}"/>
    <cellStyle name="20% - Accent6 2 2 2 6 3" xfId="11722" xr:uid="{00241A20-4AB8-47EB-8092-034BFF1B96FE}"/>
    <cellStyle name="20% - Accent6 2 2 2 7" xfId="4547" xr:uid="{00000000-0005-0000-0000-000037030000}"/>
    <cellStyle name="20% - Accent6 2 2 2 7 2" xfId="13873" xr:uid="{724E37E3-2942-483C-AB04-FB65E3B2811F}"/>
    <cellStyle name="20% - Accent6 2 2 2 8" xfId="9105" xr:uid="{2D3B6B01-F2FB-4D08-A7F9-9902961EFB46}"/>
    <cellStyle name="20% - Accent6 2 2 2 8 2" xfId="18429" xr:uid="{E6D16D70-AEDD-4987-99E8-48D5DE243400}"/>
    <cellStyle name="20% - Accent6 2 2 2 9" xfId="9656" xr:uid="{F8AD09FF-65B5-46D8-8CDE-0DC2D074FDB0}"/>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43991F57-711F-4D61-92AD-1A782FB4E218}"/>
    <cellStyle name="20% - Accent6 2 2 3 2 3" xfId="12214" xr:uid="{14C4E4D8-147F-4D78-8F57-F41775AA4E14}"/>
    <cellStyle name="20% - Accent6 2 2 3 3" xfId="4960" xr:uid="{00000000-0005-0000-0000-00003B030000}"/>
    <cellStyle name="20% - Accent6 2 2 3 3 2" xfId="14286" xr:uid="{EDB55C7C-5FE0-4367-B5BF-AAC86BBC850B}"/>
    <cellStyle name="20% - Accent6 2 2 3 4" xfId="9323" xr:uid="{93CC3C58-EC1C-4AC6-8D02-E00EFD80A494}"/>
    <cellStyle name="20% - Accent6 2 2 3 4 2" xfId="18638" xr:uid="{58A5C3F8-6DB9-41CD-B57A-5FF6E375DAD2}"/>
    <cellStyle name="20% - Accent6 2 2 3 5" xfId="10069" xr:uid="{5AB92673-EF5B-4F33-8DD3-F3CB6F5B08D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171EC020-6019-4C56-B767-D3BCDDB63C11}"/>
    <cellStyle name="20% - Accent6 2 2 4 2 3" xfId="12627" xr:uid="{D0205447-91BA-4EB0-BF9B-61048A0AA3BD}"/>
    <cellStyle name="20% - Accent6 2 2 4 3" xfId="5373" xr:uid="{00000000-0005-0000-0000-00003F030000}"/>
    <cellStyle name="20% - Accent6 2 2 4 3 2" xfId="14699" xr:uid="{BFA7D7C7-DF2A-4BAE-9A44-B896918565FC}"/>
    <cellStyle name="20% - Accent6 2 2 4 4" xfId="10482" xr:uid="{2583BC65-710F-437F-AF08-50FD314BBB95}"/>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B68B2BDE-C4C0-4B6C-A9A4-5F323C57E430}"/>
    <cellStyle name="20% - Accent6 2 2 5 2 3" xfId="13040" xr:uid="{12A11A27-1FF2-4B06-A8A3-3C9E9CA85044}"/>
    <cellStyle name="20% - Accent6 2 2 5 3" xfId="5786" xr:uid="{00000000-0005-0000-0000-000043030000}"/>
    <cellStyle name="20% - Accent6 2 2 5 3 2" xfId="15112" xr:uid="{78458A44-895A-4410-BF33-35DE5814647C}"/>
    <cellStyle name="20% - Accent6 2 2 5 4" xfId="10895" xr:uid="{6DD8A830-6F0A-44C4-98FB-1B5F22EA18B0}"/>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12F97771-BA95-4A47-BD1D-D71039E4D874}"/>
    <cellStyle name="20% - Accent6 2 2 6 2 3" xfId="13453" xr:uid="{9A56A8A3-94E1-451D-A32E-6CBC0C16158D}"/>
    <cellStyle name="20% - Accent6 2 2 6 3" xfId="6199" xr:uid="{00000000-0005-0000-0000-000047030000}"/>
    <cellStyle name="20% - Accent6 2 2 6 3 2" xfId="15525" xr:uid="{A642F1FE-7800-4BC0-BF64-D29B6508CD2C}"/>
    <cellStyle name="20% - Accent6 2 2 6 4" xfId="11308" xr:uid="{B988A468-8AB5-425A-8748-B27684F683E1}"/>
    <cellStyle name="20% - Accent6 2 2 7" xfId="2306" xr:uid="{00000000-0005-0000-0000-000048030000}"/>
    <cellStyle name="20% - Accent6 2 2 7 2" xfId="6612" xr:uid="{00000000-0005-0000-0000-000049030000}"/>
    <cellStyle name="20% - Accent6 2 2 7 2 2" xfId="15938" xr:uid="{E7BCC45B-67AD-492A-B36E-02214F8BB69F}"/>
    <cellStyle name="20% - Accent6 2 2 7 3" xfId="11721" xr:uid="{B5F28CCF-F41A-4D4C-B6C7-68228DDDF2FF}"/>
    <cellStyle name="20% - Accent6 2 2 8" xfId="4546" xr:uid="{00000000-0005-0000-0000-00004A030000}"/>
    <cellStyle name="20% - Accent6 2 2 8 2" xfId="13872" xr:uid="{2505959E-7F60-4543-9D0B-0522FFB8EE45}"/>
    <cellStyle name="20% - Accent6 2 2 9" xfId="8898" xr:uid="{88686F75-037F-4072-9BDC-942546C51E8F}"/>
    <cellStyle name="20% - Accent6 2 2 9 2" xfId="18222" xr:uid="{4B25062D-06B5-4640-9E66-69A45E8D8E4E}"/>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A706688F-333C-4599-AC4A-D049BBBF023D}"/>
    <cellStyle name="20% - Accent6 2 3 2 2 3" xfId="12216" xr:uid="{16F4A5A0-9A72-43B1-AEC1-5563EA5E3B3E}"/>
    <cellStyle name="20% - Accent6 2 3 2 3" xfId="4962" xr:uid="{00000000-0005-0000-0000-00004F030000}"/>
    <cellStyle name="20% - Accent6 2 3 2 3 2" xfId="14288" xr:uid="{89A4785F-E49E-413E-819B-74DF6C01D99B}"/>
    <cellStyle name="20% - Accent6 2 3 2 4" xfId="9427" xr:uid="{009378B6-C0A8-4C7C-A9A2-F91104842D93}"/>
    <cellStyle name="20% - Accent6 2 3 2 4 2" xfId="18742" xr:uid="{2E6AB753-7CD7-4E06-8CF7-6EC5FA9EAE0D}"/>
    <cellStyle name="20% - Accent6 2 3 2 5" xfId="10071" xr:uid="{09937305-25A6-4CF1-8361-914985FBA1A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3ECAE832-35A2-4EF6-9B2A-9DCCDC4A3053}"/>
    <cellStyle name="20% - Accent6 2 3 3 2 3" xfId="12629" xr:uid="{D68C5993-D685-4A92-9F56-947F59C6F3B6}"/>
    <cellStyle name="20% - Accent6 2 3 3 3" xfId="5375" xr:uid="{00000000-0005-0000-0000-000053030000}"/>
    <cellStyle name="20% - Accent6 2 3 3 3 2" xfId="14701" xr:uid="{1CD0721B-F622-4F17-A4A7-292C21836A2A}"/>
    <cellStyle name="20% - Accent6 2 3 3 4" xfId="10484" xr:uid="{EBE05053-E67A-485F-812D-B86391A6B51C}"/>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79D92243-E10C-4B19-8375-9BF617B76F6E}"/>
    <cellStyle name="20% - Accent6 2 3 4 2 3" xfId="13042" xr:uid="{987F5B0A-8E5A-4130-95CA-4456AFB105AD}"/>
    <cellStyle name="20% - Accent6 2 3 4 3" xfId="5788" xr:uid="{00000000-0005-0000-0000-000057030000}"/>
    <cellStyle name="20% - Accent6 2 3 4 3 2" xfId="15114" xr:uid="{725E6235-2244-4ED3-84BC-5950BB62C187}"/>
    <cellStyle name="20% - Accent6 2 3 4 4" xfId="10897" xr:uid="{63D0F73B-835C-4D79-87F9-23583FC1288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E8FB4452-6AD5-4AC7-B548-399752B4F26F}"/>
    <cellStyle name="20% - Accent6 2 3 5 2 3" xfId="13455" xr:uid="{3F28C6CB-0BA9-4DBF-9CC4-612B51B67FFA}"/>
    <cellStyle name="20% - Accent6 2 3 5 3" xfId="6201" xr:uid="{00000000-0005-0000-0000-00005B030000}"/>
    <cellStyle name="20% - Accent6 2 3 5 3 2" xfId="15527" xr:uid="{618FBA6F-8806-4550-9576-DFAC98829366}"/>
    <cellStyle name="20% - Accent6 2 3 5 4" xfId="11310" xr:uid="{DF20D731-0506-4E09-87E4-C90933BE57C6}"/>
    <cellStyle name="20% - Accent6 2 3 6" xfId="2308" xr:uid="{00000000-0005-0000-0000-00005C030000}"/>
    <cellStyle name="20% - Accent6 2 3 6 2" xfId="6614" xr:uid="{00000000-0005-0000-0000-00005D030000}"/>
    <cellStyle name="20% - Accent6 2 3 6 2 2" xfId="15940" xr:uid="{745B70EF-22A7-4BFF-9F48-2D7457C38D2A}"/>
    <cellStyle name="20% - Accent6 2 3 6 3" xfId="11723" xr:uid="{21FF7FF0-E3AB-4E23-8222-34DAAC6773A6}"/>
    <cellStyle name="20% - Accent6 2 3 7" xfId="4548" xr:uid="{00000000-0005-0000-0000-00005E030000}"/>
    <cellStyle name="20% - Accent6 2 3 7 2" xfId="13874" xr:uid="{6A9153F4-3D1F-45E6-A585-4616B945CA9E}"/>
    <cellStyle name="20% - Accent6 2 3 8" xfId="9002" xr:uid="{F69877AB-868C-474F-8F88-C5F2F1F2C041}"/>
    <cellStyle name="20% - Accent6 2 3 8 2" xfId="18326" xr:uid="{BDA4985A-1637-433C-BBAD-C8197207A5B5}"/>
    <cellStyle name="20% - Accent6 2 3 9" xfId="9657" xr:uid="{276795A5-E009-446F-858C-416E4570B7F3}"/>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2497E57B-B614-4176-BD27-0C6D49BBA346}"/>
    <cellStyle name="20% - Accent6 2 4 2 3" xfId="12213" xr:uid="{A3EAC059-FD79-448A-B078-1C501223F26C}"/>
    <cellStyle name="20% - Accent6 2 4 3" xfId="4959" xr:uid="{00000000-0005-0000-0000-000062030000}"/>
    <cellStyle name="20% - Accent6 2 4 3 2" xfId="14285" xr:uid="{E3A6F8B2-63DE-4285-A98B-E6874BBAF1E0}"/>
    <cellStyle name="20% - Accent6 2 4 4" xfId="9219" xr:uid="{C8AD75F8-261B-45C4-93F0-0E0A49EEEF79}"/>
    <cellStyle name="20% - Accent6 2 4 4 2" xfId="18535" xr:uid="{0EB16A4D-F511-40F1-8C74-729B8F6A2D9E}"/>
    <cellStyle name="20% - Accent6 2 4 5" xfId="10068" xr:uid="{45298DAC-23C1-4235-8ECB-CAC59CCCC6E4}"/>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A80B6C04-96ED-4658-ABF5-5E5D776112C1}"/>
    <cellStyle name="20% - Accent6 2 5 2 3" xfId="12626" xr:uid="{BE7A4A0E-2672-4192-BD4E-AEBA8476AF29}"/>
    <cellStyle name="20% - Accent6 2 5 3" xfId="5372" xr:uid="{00000000-0005-0000-0000-000066030000}"/>
    <cellStyle name="20% - Accent6 2 5 3 2" xfId="14698" xr:uid="{26112D43-3CA3-4A86-AD72-D92EB378FB33}"/>
    <cellStyle name="20% - Accent6 2 5 4" xfId="10481" xr:uid="{9BEFB834-DDF7-4B46-9EC9-EFA98B4E3E25}"/>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30035D4B-3D76-4505-BCFB-C0D6CF51BD2F}"/>
    <cellStyle name="20% - Accent6 2 6 2 3" xfId="13039" xr:uid="{E41422C4-12C0-487A-9AD7-17A638C9CC44}"/>
    <cellStyle name="20% - Accent6 2 6 3" xfId="5785" xr:uid="{00000000-0005-0000-0000-00006A030000}"/>
    <cellStyle name="20% - Accent6 2 6 3 2" xfId="15111" xr:uid="{D365957A-616F-4A63-935C-75CF7493B2C8}"/>
    <cellStyle name="20% - Accent6 2 6 4" xfId="10894" xr:uid="{72DF4FD7-C521-4698-B419-9839B52CC415}"/>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0AAC747F-DEA5-4CF1-B5E6-523F8A26257B}"/>
    <cellStyle name="20% - Accent6 2 7 2 3" xfId="13452" xr:uid="{8968DCEB-6195-4867-957E-4751DC54230D}"/>
    <cellStyle name="20% - Accent6 2 7 3" xfId="6198" xr:uid="{00000000-0005-0000-0000-00006E030000}"/>
    <cellStyle name="20% - Accent6 2 7 3 2" xfId="15524" xr:uid="{98C13381-BC0C-42F7-81A1-C385159B2D00}"/>
    <cellStyle name="20% - Accent6 2 7 4" xfId="11307" xr:uid="{417E3646-F2B2-46B8-B920-9314258B9B97}"/>
    <cellStyle name="20% - Accent6 2 8" xfId="2305" xr:uid="{00000000-0005-0000-0000-00006F030000}"/>
    <cellStyle name="20% - Accent6 2 8 2" xfId="6611" xr:uid="{00000000-0005-0000-0000-000070030000}"/>
    <cellStyle name="20% - Accent6 2 8 2 2" xfId="15937" xr:uid="{31253C63-7F9A-49F5-A830-8037FB153F2D}"/>
    <cellStyle name="20% - Accent6 2 8 3" xfId="11720" xr:uid="{237324C9-EF67-4DFA-856A-6BA83F9CA029}"/>
    <cellStyle name="20% - Accent6 2 9" xfId="4545" xr:uid="{00000000-0005-0000-0000-000071030000}"/>
    <cellStyle name="20% - Accent6 2 9 2" xfId="13871" xr:uid="{5B8EAD28-EEA2-4898-8176-9DA1463C565E}"/>
    <cellStyle name="20% - Accent6 3" xfId="46" xr:uid="{00000000-0005-0000-0000-000072030000}"/>
    <cellStyle name="20% - Accent6 3 10" xfId="9658" xr:uid="{56F4C5B8-9689-4CBA-AB41-CC9EAA6F1662}"/>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C1D29BFB-D1E4-407D-BAC7-8F01D601CF55}"/>
    <cellStyle name="20% - Accent6 3 2 2 2 3" xfId="12218" xr:uid="{E7DEBE28-79D5-4AA3-8566-2E007DED2DD5}"/>
    <cellStyle name="20% - Accent6 3 2 2 3" xfId="4964" xr:uid="{00000000-0005-0000-0000-000077030000}"/>
    <cellStyle name="20% - Accent6 3 2 2 3 2" xfId="14290" xr:uid="{1605FB02-2AE4-42BE-90DC-C0AE604051DC}"/>
    <cellStyle name="20% - Accent6 3 2 2 4" xfId="9503" xr:uid="{A5A3EDF8-16EA-4A86-8795-C3BA46FE244A}"/>
    <cellStyle name="20% - Accent6 3 2 2 4 2" xfId="18818" xr:uid="{47BDEA70-4CCD-4893-8BD4-CC35382E8EA6}"/>
    <cellStyle name="20% - Accent6 3 2 2 5" xfId="10073" xr:uid="{BA74F32B-79F4-46BD-A036-AE52C644B05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B9C28EFB-2920-4FE9-AB45-932AD0D9FDFE}"/>
    <cellStyle name="20% - Accent6 3 2 3 2 3" xfId="12631" xr:uid="{92D814F1-EBB2-4E5A-996F-AD4DD04D404C}"/>
    <cellStyle name="20% - Accent6 3 2 3 3" xfId="5377" xr:uid="{00000000-0005-0000-0000-00007B030000}"/>
    <cellStyle name="20% - Accent6 3 2 3 3 2" xfId="14703" xr:uid="{F27A6143-1323-403D-840E-40F9A72425AE}"/>
    <cellStyle name="20% - Accent6 3 2 3 4" xfId="10486" xr:uid="{CF9AA2C7-924E-4674-A248-252D109E429D}"/>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80788586-F516-4988-A679-D6543C7A8589}"/>
    <cellStyle name="20% - Accent6 3 2 4 2 3" xfId="13044" xr:uid="{8D29274B-C805-4C75-A541-332FE260B47B}"/>
    <cellStyle name="20% - Accent6 3 2 4 3" xfId="5790" xr:uid="{00000000-0005-0000-0000-00007F030000}"/>
    <cellStyle name="20% - Accent6 3 2 4 3 2" xfId="15116" xr:uid="{1D2ED531-993A-460F-9C00-B4BAAD23766D}"/>
    <cellStyle name="20% - Accent6 3 2 4 4" xfId="10899" xr:uid="{4F60DE38-BCEE-4E46-999B-1A9E43A94E6E}"/>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C6991DDA-9FB8-496A-9135-DA3FF33C9216}"/>
    <cellStyle name="20% - Accent6 3 2 5 2 3" xfId="13457" xr:uid="{78D2B565-879D-413E-8014-82FF86CBCC97}"/>
    <cellStyle name="20% - Accent6 3 2 5 3" xfId="6203" xr:uid="{00000000-0005-0000-0000-000083030000}"/>
    <cellStyle name="20% - Accent6 3 2 5 3 2" xfId="15529" xr:uid="{145477A7-47C8-4BFE-86AD-7A46CB9EA8B5}"/>
    <cellStyle name="20% - Accent6 3 2 5 4" xfId="11312" xr:uid="{6DD52AF4-B234-4805-B4F8-2322A7882921}"/>
    <cellStyle name="20% - Accent6 3 2 6" xfId="2310" xr:uid="{00000000-0005-0000-0000-000084030000}"/>
    <cellStyle name="20% - Accent6 3 2 6 2" xfId="6616" xr:uid="{00000000-0005-0000-0000-000085030000}"/>
    <cellStyle name="20% - Accent6 3 2 6 2 2" xfId="15942" xr:uid="{5770B6A8-2855-4697-92CB-4F967E004C82}"/>
    <cellStyle name="20% - Accent6 3 2 6 3" xfId="11725" xr:uid="{CA7B599A-0BC9-4B99-B091-C4730326A3F5}"/>
    <cellStyle name="20% - Accent6 3 2 7" xfId="4550" xr:uid="{00000000-0005-0000-0000-000086030000}"/>
    <cellStyle name="20% - Accent6 3 2 7 2" xfId="13876" xr:uid="{4F55EA54-B49C-4E1F-9201-ED1179F6CFFB}"/>
    <cellStyle name="20% - Accent6 3 2 8" xfId="9078" xr:uid="{55C63253-C10A-44F0-A9A1-D3E9AD1B1E77}"/>
    <cellStyle name="20% - Accent6 3 2 8 2" xfId="18402" xr:uid="{C82B4AC3-3CA5-457D-989A-FB5AF247EBB4}"/>
    <cellStyle name="20% - Accent6 3 2 9" xfId="9659" xr:uid="{24DA17AD-3032-4506-9FAB-AD50A8A42733}"/>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48698FB1-8B69-4B14-ACFA-F2D059152157}"/>
    <cellStyle name="20% - Accent6 3 3 2 3" xfId="12217" xr:uid="{A4374EF6-E446-4D12-B94C-783335C5EBAC}"/>
    <cellStyle name="20% - Accent6 3 3 3" xfId="4963" xr:uid="{00000000-0005-0000-0000-00008A030000}"/>
    <cellStyle name="20% - Accent6 3 3 3 2" xfId="14289" xr:uid="{7B9A6F75-3BA1-449C-A10A-378539323FD0}"/>
    <cellStyle name="20% - Accent6 3 3 4" xfId="9296" xr:uid="{68DBDAD1-945F-459A-93CE-56D312D1EDE4}"/>
    <cellStyle name="20% - Accent6 3 3 4 2" xfId="18611" xr:uid="{1CE70326-39AF-402A-9B37-EC8B61264950}"/>
    <cellStyle name="20% - Accent6 3 3 5" xfId="10072" xr:uid="{8C812267-0B63-4965-BF1F-C73807A1BA27}"/>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FA39886D-07C9-45ED-97D6-72C33F8EF8A8}"/>
    <cellStyle name="20% - Accent6 3 4 2 3" xfId="12630" xr:uid="{818B5168-D393-4690-B312-A4E09EA40A2B}"/>
    <cellStyle name="20% - Accent6 3 4 3" xfId="5376" xr:uid="{00000000-0005-0000-0000-00008E030000}"/>
    <cellStyle name="20% - Accent6 3 4 3 2" xfId="14702" xr:uid="{707D30A6-F72D-4C18-9BA7-FCF4CA995D37}"/>
    <cellStyle name="20% - Accent6 3 4 4" xfId="10485" xr:uid="{ACFDBCD4-C69C-4EF6-9DBB-B5D9912E18A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BF2F22B7-754C-495E-9450-23BED93B8E66}"/>
    <cellStyle name="20% - Accent6 3 5 2 3" xfId="13043" xr:uid="{45E838B4-A676-4973-A07F-70BFC844BE0C}"/>
    <cellStyle name="20% - Accent6 3 5 3" xfId="5789" xr:uid="{00000000-0005-0000-0000-000092030000}"/>
    <cellStyle name="20% - Accent6 3 5 3 2" xfId="15115" xr:uid="{29BD76A5-27AE-4814-A7D1-9BCD33546B4E}"/>
    <cellStyle name="20% - Accent6 3 5 4" xfId="10898" xr:uid="{A4B8BDE7-F45F-449E-87E8-7C33C3E8752E}"/>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BF840C72-190D-498D-BB4C-3D940643EEEF}"/>
    <cellStyle name="20% - Accent6 3 6 2 3" xfId="13456" xr:uid="{92122961-9CA4-40AC-A0BD-FDBEF9A08BB6}"/>
    <cellStyle name="20% - Accent6 3 6 3" xfId="6202" xr:uid="{00000000-0005-0000-0000-000096030000}"/>
    <cellStyle name="20% - Accent6 3 6 3 2" xfId="15528" xr:uid="{FDC9F6C7-B0ED-4CBE-9A07-640A50DE94C6}"/>
    <cellStyle name="20% - Accent6 3 6 4" xfId="11311" xr:uid="{DDD89FC0-753C-47A4-BFE2-58E137F75997}"/>
    <cellStyle name="20% - Accent6 3 7" xfId="2309" xr:uid="{00000000-0005-0000-0000-000097030000}"/>
    <cellStyle name="20% - Accent6 3 7 2" xfId="6615" xr:uid="{00000000-0005-0000-0000-000098030000}"/>
    <cellStyle name="20% - Accent6 3 7 2 2" xfId="15941" xr:uid="{6E7788B9-511E-4534-A23F-CD94C988BF7B}"/>
    <cellStyle name="20% - Accent6 3 7 3" xfId="11724" xr:uid="{F94DDD05-8699-4B2D-8DE2-463EB638065B}"/>
    <cellStyle name="20% - Accent6 3 8" xfId="4549" xr:uid="{00000000-0005-0000-0000-000099030000}"/>
    <cellStyle name="20% - Accent6 3 8 2" xfId="13875" xr:uid="{44AC5B98-39E0-4278-ABEC-E2D224B5D019}"/>
    <cellStyle name="20% - Accent6 3 9" xfId="8871" xr:uid="{6A653046-C3D6-46DC-9DAA-DA1241CBE9F0}"/>
    <cellStyle name="20% - Accent6 3 9 2" xfId="18195" xr:uid="{1817203E-94A8-443D-865C-CFA6C3252378}"/>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8B661077-59B8-432A-9E73-29A64546F892}"/>
    <cellStyle name="20% - Accent6 4 2 2 3" xfId="12219" xr:uid="{B29F6740-A9EB-4C72-9FB1-893DFDB3CAE5}"/>
    <cellStyle name="20% - Accent6 4 2 3" xfId="4965" xr:uid="{00000000-0005-0000-0000-00009E030000}"/>
    <cellStyle name="20% - Accent6 4 2 3 2" xfId="14291" xr:uid="{AF5009A6-C2DB-4D4B-8754-4948B88C9DA3}"/>
    <cellStyle name="20% - Accent6 4 2 4" xfId="9382" xr:uid="{704ED43C-A59A-4E80-A03F-B933767E3A55}"/>
    <cellStyle name="20% - Accent6 4 2 4 2" xfId="18697" xr:uid="{42AD8DCA-E3D9-4B57-89F4-4DB5A9C37622}"/>
    <cellStyle name="20% - Accent6 4 2 5" xfId="10074" xr:uid="{F3377168-4728-42A9-B8F4-9649CDCDEA2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5884E057-F5F1-4431-8D3F-139C85F582DA}"/>
    <cellStyle name="20% - Accent6 4 3 2 3" xfId="12632" xr:uid="{7CEAB834-DA25-449B-A2C3-901AEFB3FAF1}"/>
    <cellStyle name="20% - Accent6 4 3 3" xfId="5378" xr:uid="{00000000-0005-0000-0000-0000A2030000}"/>
    <cellStyle name="20% - Accent6 4 3 3 2" xfId="14704" xr:uid="{6FA2D53E-78DD-43E7-9732-48B9F019E625}"/>
    <cellStyle name="20% - Accent6 4 3 4" xfId="10487" xr:uid="{3B9C2DE6-13C0-4A6F-A2EC-844403A5D5DB}"/>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9BD0C2F0-CD0A-4871-861F-D68B2A7BF7A7}"/>
    <cellStyle name="20% - Accent6 4 4 2 3" xfId="13045" xr:uid="{859208D2-9049-4951-B024-120B66BF703D}"/>
    <cellStyle name="20% - Accent6 4 4 3" xfId="5791" xr:uid="{00000000-0005-0000-0000-0000A6030000}"/>
    <cellStyle name="20% - Accent6 4 4 3 2" xfId="15117" xr:uid="{022EC742-ED39-44D3-A676-B7A252E4B4FF}"/>
    <cellStyle name="20% - Accent6 4 4 4" xfId="10900" xr:uid="{A001DE2C-4DE3-4F00-8A90-C0954C089F23}"/>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1DAE7B17-4662-45FD-BCD2-163A3D67BF1C}"/>
    <cellStyle name="20% - Accent6 4 5 2 3" xfId="13458" xr:uid="{3781C617-5F84-441A-9399-F7D2B008EDBD}"/>
    <cellStyle name="20% - Accent6 4 5 3" xfId="6204" xr:uid="{00000000-0005-0000-0000-0000AA030000}"/>
    <cellStyle name="20% - Accent6 4 5 3 2" xfId="15530" xr:uid="{5DDC854D-B18C-4974-8FB3-C9FC14FF34C9}"/>
    <cellStyle name="20% - Accent6 4 5 4" xfId="11313" xr:uid="{8CEE8203-3C68-4CE6-A9CC-169E60E1B2BA}"/>
    <cellStyle name="20% - Accent6 4 6" xfId="2311" xr:uid="{00000000-0005-0000-0000-0000AB030000}"/>
    <cellStyle name="20% - Accent6 4 6 2" xfId="6617" xr:uid="{00000000-0005-0000-0000-0000AC030000}"/>
    <cellStyle name="20% - Accent6 4 6 2 2" xfId="15943" xr:uid="{6FBEA2D1-E4C4-46A2-A6C3-B9CFABFC7F57}"/>
    <cellStyle name="20% - Accent6 4 6 3" xfId="11726" xr:uid="{F4C8C627-3CB4-4732-A878-5E0CA3F78491}"/>
    <cellStyle name="20% - Accent6 4 7" xfId="4551" xr:uid="{00000000-0005-0000-0000-0000AD030000}"/>
    <cellStyle name="20% - Accent6 4 7 2" xfId="13877" xr:uid="{2AAAEB68-EA2E-4164-AFB5-C2580755250C}"/>
    <cellStyle name="20% - Accent6 4 8" xfId="8957" xr:uid="{03E1DA3A-6A3F-4C0D-9844-2D38E7BA13BC}"/>
    <cellStyle name="20% - Accent6 4 8 2" xfId="18281" xr:uid="{C7B45C73-AA34-498A-A991-C7D85142B2C0}"/>
    <cellStyle name="20% - Accent6 4 9" xfId="9660" xr:uid="{AB5907EB-3F0C-4A2F-A22B-B64299C1F380}"/>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B4092534-5F66-4F44-BED7-A9AC50F0888D}"/>
    <cellStyle name="20% - Accent6 5 2 3" xfId="12212" xr:uid="{64583718-BD95-413C-AC7F-FAAF2FA43ECC}"/>
    <cellStyle name="20% - Accent6 5 3" xfId="4958" xr:uid="{00000000-0005-0000-0000-0000B1030000}"/>
    <cellStyle name="20% - Accent6 5 3 2" xfId="14284" xr:uid="{54883A3D-19AE-459F-9F6C-D45B61F96F7F}"/>
    <cellStyle name="20% - Accent6 5 4" xfId="9191" xr:uid="{C812E2E5-5572-4E86-9CB6-C7C53792C044}"/>
    <cellStyle name="20% - Accent6 5 4 2" xfId="18508" xr:uid="{B0E73604-233E-462F-828D-77FDF87107EB}"/>
    <cellStyle name="20% - Accent6 5 5" xfId="10067" xr:uid="{90985B5A-316F-49D1-A5B6-92872E3B0767}"/>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94FDEA27-E7CE-4351-A83D-80A22D4CABF9}"/>
    <cellStyle name="20% - Accent6 6 2 3" xfId="12625" xr:uid="{9980BF18-2E87-4F9F-B569-8195A2B180CC}"/>
    <cellStyle name="20% - Accent6 6 3" xfId="5371" xr:uid="{00000000-0005-0000-0000-0000B5030000}"/>
    <cellStyle name="20% - Accent6 6 3 2" xfId="14697" xr:uid="{52DA5957-3C7C-4FF2-AEBF-0C1407D74D8D}"/>
    <cellStyle name="20% - Accent6 6 4" xfId="10480" xr:uid="{3A97632C-43C6-4EE9-B171-BABA9EFB05FC}"/>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F6E7E00C-A895-49F5-9AB2-B34CD681FACE}"/>
    <cellStyle name="20% - Accent6 7 2 3" xfId="13038" xr:uid="{51765222-BCEE-4AD4-B512-46DC34810E3D}"/>
    <cellStyle name="20% - Accent6 7 3" xfId="5784" xr:uid="{00000000-0005-0000-0000-0000B9030000}"/>
    <cellStyle name="20% - Accent6 7 3 2" xfId="15110" xr:uid="{00CD98FE-29D3-44E4-8F71-106E63D703EA}"/>
    <cellStyle name="20% - Accent6 7 4" xfId="10893" xr:uid="{51798AE8-721F-463D-BD54-B134BFB0B2D0}"/>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D9E96EF8-54DE-49E0-99A6-F853D3219868}"/>
    <cellStyle name="20% - Accent6 8 2 3" xfId="13451" xr:uid="{7D63B254-CDB4-4901-86AC-D175C661D405}"/>
    <cellStyle name="20% - Accent6 8 3" xfId="6197" xr:uid="{00000000-0005-0000-0000-0000BD030000}"/>
    <cellStyle name="20% - Accent6 8 3 2" xfId="15523" xr:uid="{5FD1EA79-B333-4E8B-81F9-F8622812611F}"/>
    <cellStyle name="20% - Accent6 8 4" xfId="11306" xr:uid="{4A004DF0-9DEC-4DF0-B195-FDFF987B24A2}"/>
    <cellStyle name="20% - Accent6 9" xfId="2304" xr:uid="{00000000-0005-0000-0000-0000BE030000}"/>
    <cellStyle name="20% - Accent6 9 2" xfId="6610" xr:uid="{00000000-0005-0000-0000-0000BF030000}"/>
    <cellStyle name="20% - Accent6 9 2 2" xfId="15936" xr:uid="{4C5D6D7D-CDAD-4C18-907A-BC36F75D09B5}"/>
    <cellStyle name="20% - Accent6 9 3" xfId="11719" xr:uid="{112FD5FA-6287-4524-9D60-068FA2E54E3E}"/>
    <cellStyle name="40% - Accent1" xfId="49" builtinId="31" customBuiltin="1"/>
    <cellStyle name="40% - Accent1 10" xfId="4552" xr:uid="{00000000-0005-0000-0000-0000C1030000}"/>
    <cellStyle name="40% - Accent1 10 2" xfId="13878" xr:uid="{3B6BAB2F-481C-4B2C-9B40-53D3E98A0B95}"/>
    <cellStyle name="40% - Accent1 11" xfId="8759" xr:uid="{E0AA4078-00FF-4C00-81ED-1F048AC6C533}"/>
    <cellStyle name="40% - Accent1 11 2" xfId="18083" xr:uid="{BE8C9D49-BC70-40C2-ADDA-F31B33F60A9C}"/>
    <cellStyle name="40% - Accent1 12" xfId="9661" xr:uid="{4840FEA2-FE7C-474C-9A23-71E3409761DD}"/>
    <cellStyle name="40% - Accent1 2" xfId="50" xr:uid="{00000000-0005-0000-0000-0000C2030000}"/>
    <cellStyle name="40% - Accent1 2 10" xfId="8798" xr:uid="{82026451-631C-40CA-BC49-BE5DA2EA921A}"/>
    <cellStyle name="40% - Accent1 2 10 2" xfId="18122" xr:uid="{1D349F10-B5A9-4C4B-8252-143289CCD2E1}"/>
    <cellStyle name="40% - Accent1 2 11" xfId="9662" xr:uid="{7F9E07FF-1054-4B8E-9774-A5A5C38B5650}"/>
    <cellStyle name="40% - Accent1 2 2" xfId="51" xr:uid="{00000000-0005-0000-0000-0000C3030000}"/>
    <cellStyle name="40% - Accent1 2 2 10" xfId="9663" xr:uid="{500156CE-3269-459D-93F6-4E067789AA1A}"/>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96698E65-0A1D-42DC-BAAA-5D1FD74C53C2}"/>
    <cellStyle name="40% - Accent1 2 2 2 2 2 3" xfId="12223" xr:uid="{55A0C450-7E21-426A-939E-A7505FCFD349}"/>
    <cellStyle name="40% - Accent1 2 2 2 2 3" xfId="4969" xr:uid="{00000000-0005-0000-0000-0000C8030000}"/>
    <cellStyle name="40% - Accent1 2 2 2 2 3 2" xfId="14295" xr:uid="{4F8C29BC-2604-408D-ACAA-64AF7E0F3DF2}"/>
    <cellStyle name="40% - Accent1 2 2 2 2 4" xfId="9533" xr:uid="{757B5AC4-115E-4B90-B4EA-505C31F9B178}"/>
    <cellStyle name="40% - Accent1 2 2 2 2 4 2" xfId="18848" xr:uid="{59650528-BDCC-4096-97A2-A5640A26B702}"/>
    <cellStyle name="40% - Accent1 2 2 2 2 5" xfId="10078" xr:uid="{3CEA2222-2279-4BBF-89D7-F3543CC4841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409F5220-E8DE-4C39-933F-C0815636444C}"/>
    <cellStyle name="40% - Accent1 2 2 2 3 2 3" xfId="12636" xr:uid="{A606C88B-3A90-4AC4-9F4D-97B5D35FBC00}"/>
    <cellStyle name="40% - Accent1 2 2 2 3 3" xfId="5382" xr:uid="{00000000-0005-0000-0000-0000CC030000}"/>
    <cellStyle name="40% - Accent1 2 2 2 3 3 2" xfId="14708" xr:uid="{F5B09222-0D8E-4B70-83B3-8F6DCF4BBA07}"/>
    <cellStyle name="40% - Accent1 2 2 2 3 4" xfId="10491" xr:uid="{887C7F90-911E-4AF2-AF05-F751570E5EB6}"/>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9071C0FE-AC15-47BC-BA76-1AFBCEB02DBF}"/>
    <cellStyle name="40% - Accent1 2 2 2 4 2 3" xfId="13049" xr:uid="{FD5910C0-73B6-43DA-B554-05CB305B979A}"/>
    <cellStyle name="40% - Accent1 2 2 2 4 3" xfId="5795" xr:uid="{00000000-0005-0000-0000-0000D0030000}"/>
    <cellStyle name="40% - Accent1 2 2 2 4 3 2" xfId="15121" xr:uid="{E97008AC-26BE-439C-AB43-16DC70455EA3}"/>
    <cellStyle name="40% - Accent1 2 2 2 4 4" xfId="10904" xr:uid="{12192CCF-07A0-4E41-A9B4-4AAE8A8FB32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E88E9D2D-E9A6-436E-8144-3A269B2B7F86}"/>
    <cellStyle name="40% - Accent1 2 2 2 5 2 3" xfId="13462" xr:uid="{ED9F905D-7F78-4F7D-9E64-8559D8043755}"/>
    <cellStyle name="40% - Accent1 2 2 2 5 3" xfId="6208" xr:uid="{00000000-0005-0000-0000-0000D4030000}"/>
    <cellStyle name="40% - Accent1 2 2 2 5 3 2" xfId="15534" xr:uid="{B35732B4-50F2-4555-BDA2-2D63C5155482}"/>
    <cellStyle name="40% - Accent1 2 2 2 5 4" xfId="11317" xr:uid="{3DBBFF6E-35C0-4D8C-A723-E6B07E41D431}"/>
    <cellStyle name="40% - Accent1 2 2 2 6" xfId="2315" xr:uid="{00000000-0005-0000-0000-0000D5030000}"/>
    <cellStyle name="40% - Accent1 2 2 2 6 2" xfId="6621" xr:uid="{00000000-0005-0000-0000-0000D6030000}"/>
    <cellStyle name="40% - Accent1 2 2 2 6 2 2" xfId="15947" xr:uid="{D8A50025-4142-4DB7-871F-E95AB431F801}"/>
    <cellStyle name="40% - Accent1 2 2 2 6 3" xfId="11730" xr:uid="{504B0A4F-9DFC-4A62-9A5F-131CF2CD330D}"/>
    <cellStyle name="40% - Accent1 2 2 2 7" xfId="4555" xr:uid="{00000000-0005-0000-0000-0000D7030000}"/>
    <cellStyle name="40% - Accent1 2 2 2 7 2" xfId="13881" xr:uid="{61F27D57-ED91-41C3-84B1-1A5355578769}"/>
    <cellStyle name="40% - Accent1 2 2 2 8" xfId="9108" xr:uid="{1189B5E8-DD3C-4F9A-ACD3-DB853C0AC60B}"/>
    <cellStyle name="40% - Accent1 2 2 2 8 2" xfId="18432" xr:uid="{627145B1-B13E-4041-944E-42890590DC32}"/>
    <cellStyle name="40% - Accent1 2 2 2 9" xfId="9664" xr:uid="{323BE7AA-CC0E-4366-A5C5-805EF3BA135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66A08A75-FC67-470C-ABAF-D6A914507C58}"/>
    <cellStyle name="40% - Accent1 2 2 3 2 3" xfId="12222" xr:uid="{2C4A59F1-3A0A-4EED-BC3F-B3E00D48FEF9}"/>
    <cellStyle name="40% - Accent1 2 2 3 3" xfId="4968" xr:uid="{00000000-0005-0000-0000-0000DB030000}"/>
    <cellStyle name="40% - Accent1 2 2 3 3 2" xfId="14294" xr:uid="{745B2A2D-5864-4029-B6CD-0489DB2EBB65}"/>
    <cellStyle name="40% - Accent1 2 2 3 4" xfId="9326" xr:uid="{6D693950-F4D3-4A82-8C01-49E2379281D4}"/>
    <cellStyle name="40% - Accent1 2 2 3 4 2" xfId="18641" xr:uid="{BB1FB098-254A-4F21-995E-577CB9A3B192}"/>
    <cellStyle name="40% - Accent1 2 2 3 5" xfId="10077" xr:uid="{A4E0D9F0-FBE7-47CB-8EAB-38B7F025679E}"/>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6B4861CD-C3A7-497E-ACE3-623C6D2EBE13}"/>
    <cellStyle name="40% - Accent1 2 2 4 2 3" xfId="12635" xr:uid="{897BBC11-9525-4724-80B4-E69AC8EB8825}"/>
    <cellStyle name="40% - Accent1 2 2 4 3" xfId="5381" xr:uid="{00000000-0005-0000-0000-0000DF030000}"/>
    <cellStyle name="40% - Accent1 2 2 4 3 2" xfId="14707" xr:uid="{E8D84E0F-03BD-4332-B6ED-FE51AA7C5F24}"/>
    <cellStyle name="40% - Accent1 2 2 4 4" xfId="10490" xr:uid="{ED95B489-32F7-49ED-8C23-341A7C2E535E}"/>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E6B3AE90-1B9B-4078-9FFA-969CDDE97C86}"/>
    <cellStyle name="40% - Accent1 2 2 5 2 3" xfId="13048" xr:uid="{0C0B509A-DF9E-4DB2-B2F5-709182DE8051}"/>
    <cellStyle name="40% - Accent1 2 2 5 3" xfId="5794" xr:uid="{00000000-0005-0000-0000-0000E3030000}"/>
    <cellStyle name="40% - Accent1 2 2 5 3 2" xfId="15120" xr:uid="{2376D227-3761-4428-8276-AD7AA98F916A}"/>
    <cellStyle name="40% - Accent1 2 2 5 4" xfId="10903" xr:uid="{92B5109C-C53D-4B7C-AAFE-E854B4AB964B}"/>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2E4F0B1F-0DDB-4334-9F83-DC0E4DD77F45}"/>
    <cellStyle name="40% - Accent1 2 2 6 2 3" xfId="13461" xr:uid="{E3B2F2DA-1152-41DE-8616-156BF63BD98E}"/>
    <cellStyle name="40% - Accent1 2 2 6 3" xfId="6207" xr:uid="{00000000-0005-0000-0000-0000E7030000}"/>
    <cellStyle name="40% - Accent1 2 2 6 3 2" xfId="15533" xr:uid="{3995357F-E1B8-427F-BBCA-96B5321F686D}"/>
    <cellStyle name="40% - Accent1 2 2 6 4" xfId="11316" xr:uid="{C019B296-3CCC-4C42-A17C-28820FD8B785}"/>
    <cellStyle name="40% - Accent1 2 2 7" xfId="2314" xr:uid="{00000000-0005-0000-0000-0000E8030000}"/>
    <cellStyle name="40% - Accent1 2 2 7 2" xfId="6620" xr:uid="{00000000-0005-0000-0000-0000E9030000}"/>
    <cellStyle name="40% - Accent1 2 2 7 2 2" xfId="15946" xr:uid="{9200484F-972B-4420-BAC0-96C010463C0D}"/>
    <cellStyle name="40% - Accent1 2 2 7 3" xfId="11729" xr:uid="{91A0ACAB-5504-4E9F-9F2E-62212B4BAF79}"/>
    <cellStyle name="40% - Accent1 2 2 8" xfId="4554" xr:uid="{00000000-0005-0000-0000-0000EA030000}"/>
    <cellStyle name="40% - Accent1 2 2 8 2" xfId="13880" xr:uid="{C1B68B2B-BEFE-4781-8192-90411C61F795}"/>
    <cellStyle name="40% - Accent1 2 2 9" xfId="8901" xr:uid="{10130317-AF31-4351-8201-FD8BD447EA3C}"/>
    <cellStyle name="40% - Accent1 2 2 9 2" xfId="18225" xr:uid="{C0D0625C-96DA-4D9D-BC28-6565085B386F}"/>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896FCF85-0806-40BE-AF4C-FA7B1E8CA3D6}"/>
    <cellStyle name="40% - Accent1 2 3 2 2 3" xfId="12224" xr:uid="{B5A55AC8-BC43-4AE4-A2CD-72BB416A49B3}"/>
    <cellStyle name="40% - Accent1 2 3 2 3" xfId="4970" xr:uid="{00000000-0005-0000-0000-0000EF030000}"/>
    <cellStyle name="40% - Accent1 2 3 2 3 2" xfId="14296" xr:uid="{3AEB52DE-EC04-4215-8195-100995720B61}"/>
    <cellStyle name="40% - Accent1 2 3 2 4" xfId="9430" xr:uid="{C79D1FB2-141C-4301-8F37-B3B9643C0550}"/>
    <cellStyle name="40% - Accent1 2 3 2 4 2" xfId="18745" xr:uid="{0F19C90A-734C-4E21-8EE6-39D0C7003ACC}"/>
    <cellStyle name="40% - Accent1 2 3 2 5" xfId="10079" xr:uid="{D10BBA3B-DD9D-42D4-AC8D-C69916637EA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A864C518-2EC8-48C5-972A-2E106DD02FF3}"/>
    <cellStyle name="40% - Accent1 2 3 3 2 3" xfId="12637" xr:uid="{FAB8ECC5-F37C-4FE9-8B43-AA656DCD42F9}"/>
    <cellStyle name="40% - Accent1 2 3 3 3" xfId="5383" xr:uid="{00000000-0005-0000-0000-0000F3030000}"/>
    <cellStyle name="40% - Accent1 2 3 3 3 2" xfId="14709" xr:uid="{164CBF77-D1B6-4966-BA15-5B5859C4BEE2}"/>
    <cellStyle name="40% - Accent1 2 3 3 4" xfId="10492" xr:uid="{8FBD1FEE-B294-46C2-9EA7-DB45FE5BD136}"/>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C6B16571-1DF2-460F-9DBD-A7820577B4A0}"/>
    <cellStyle name="40% - Accent1 2 3 4 2 3" xfId="13050" xr:uid="{42DE2624-A050-4BE0-AD5F-AE01F5E6614F}"/>
    <cellStyle name="40% - Accent1 2 3 4 3" xfId="5796" xr:uid="{00000000-0005-0000-0000-0000F7030000}"/>
    <cellStyle name="40% - Accent1 2 3 4 3 2" xfId="15122" xr:uid="{A0DAFEE9-D4F6-4DFA-8CB2-E5E5168A813F}"/>
    <cellStyle name="40% - Accent1 2 3 4 4" xfId="10905" xr:uid="{D4389BC2-59C9-439B-A509-A8A71ABEE129}"/>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BB51F6CD-2DE4-4283-9755-1D3D3EE6CEA9}"/>
    <cellStyle name="40% - Accent1 2 3 5 2 3" xfId="13463" xr:uid="{0A26D85C-A8AE-431A-BD5E-5D8B391FBDA8}"/>
    <cellStyle name="40% - Accent1 2 3 5 3" xfId="6209" xr:uid="{00000000-0005-0000-0000-0000FB030000}"/>
    <cellStyle name="40% - Accent1 2 3 5 3 2" xfId="15535" xr:uid="{C1C69907-DBC1-42A9-9DCE-AC04B32BA3DE}"/>
    <cellStyle name="40% - Accent1 2 3 5 4" xfId="11318" xr:uid="{6D0533DE-A456-47CD-AE39-CFAA07CFA980}"/>
    <cellStyle name="40% - Accent1 2 3 6" xfId="2316" xr:uid="{00000000-0005-0000-0000-0000FC030000}"/>
    <cellStyle name="40% - Accent1 2 3 6 2" xfId="6622" xr:uid="{00000000-0005-0000-0000-0000FD030000}"/>
    <cellStyle name="40% - Accent1 2 3 6 2 2" xfId="15948" xr:uid="{A3FEC132-8861-4ADB-BBEA-2EF9188EF160}"/>
    <cellStyle name="40% - Accent1 2 3 6 3" xfId="11731" xr:uid="{08C0A82A-F883-493F-A4EF-E9750AEB618B}"/>
    <cellStyle name="40% - Accent1 2 3 7" xfId="4556" xr:uid="{00000000-0005-0000-0000-0000FE030000}"/>
    <cellStyle name="40% - Accent1 2 3 7 2" xfId="13882" xr:uid="{954309EC-F7DC-4DDE-8A70-CA395FAF3F1A}"/>
    <cellStyle name="40% - Accent1 2 3 8" xfId="9005" xr:uid="{83AF69B9-664F-4E19-B721-7989C2FEBC0C}"/>
    <cellStyle name="40% - Accent1 2 3 8 2" xfId="18329" xr:uid="{2B242D4F-F5D0-4807-8E69-722F38905FC5}"/>
    <cellStyle name="40% - Accent1 2 3 9" xfId="9665" xr:uid="{AF1D2C43-7736-4CF5-A4F9-6FCA636C74D9}"/>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3CD3FDE7-2D36-4975-A75F-95CE0B4F6522}"/>
    <cellStyle name="40% - Accent1 2 4 2 3" xfId="12221" xr:uid="{5C0E7EB6-F3F7-4872-8EAD-E82346CA89B9}"/>
    <cellStyle name="40% - Accent1 2 4 3" xfId="4967" xr:uid="{00000000-0005-0000-0000-000002040000}"/>
    <cellStyle name="40% - Accent1 2 4 3 2" xfId="14293" xr:uid="{4E33CE32-9C59-4D84-89E9-7F65082B1EAE}"/>
    <cellStyle name="40% - Accent1 2 4 4" xfId="9222" xr:uid="{A6B83122-AC98-4E58-AA4D-EC5ECC38FC6B}"/>
    <cellStyle name="40% - Accent1 2 4 4 2" xfId="18538" xr:uid="{9C5DA01F-0795-4346-BB08-7AB73719C06B}"/>
    <cellStyle name="40% - Accent1 2 4 5" xfId="10076" xr:uid="{B78BB0F3-1269-40B9-BAD1-2DD8B9A7E038}"/>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6CF15DD7-8D44-4CFA-BA5A-8F2A68505960}"/>
    <cellStyle name="40% - Accent1 2 5 2 3" xfId="12634" xr:uid="{DED79AF4-E4E8-4199-A981-0D56F4DD7103}"/>
    <cellStyle name="40% - Accent1 2 5 3" xfId="5380" xr:uid="{00000000-0005-0000-0000-000006040000}"/>
    <cellStyle name="40% - Accent1 2 5 3 2" xfId="14706" xr:uid="{2279839E-4E1B-4B8F-9B1A-F167167F5393}"/>
    <cellStyle name="40% - Accent1 2 5 4" xfId="10489" xr:uid="{51E57557-66DA-4BA2-94FD-287F16F5C603}"/>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DEA0E788-A581-4DDC-BC30-0243B79EEE20}"/>
    <cellStyle name="40% - Accent1 2 6 2 3" xfId="13047" xr:uid="{040ACDC9-463E-47D5-9A8A-39AAF5D71B7D}"/>
    <cellStyle name="40% - Accent1 2 6 3" xfId="5793" xr:uid="{00000000-0005-0000-0000-00000A040000}"/>
    <cellStyle name="40% - Accent1 2 6 3 2" xfId="15119" xr:uid="{E74ABFDD-F181-4D20-B599-33E4820200C4}"/>
    <cellStyle name="40% - Accent1 2 6 4" xfId="10902" xr:uid="{AFED7725-D6B0-4783-ABF3-9A1F7C2D1576}"/>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1CC1F01B-2003-43A2-B476-AF63FA2827A1}"/>
    <cellStyle name="40% - Accent1 2 7 2 3" xfId="13460" xr:uid="{F0606E76-21C6-4079-84D0-63D4C03B8CF9}"/>
    <cellStyle name="40% - Accent1 2 7 3" xfId="6206" xr:uid="{00000000-0005-0000-0000-00000E040000}"/>
    <cellStyle name="40% - Accent1 2 7 3 2" xfId="15532" xr:uid="{84E7A36F-3DC4-402C-9C69-C9E46CD1CC2C}"/>
    <cellStyle name="40% - Accent1 2 7 4" xfId="11315" xr:uid="{5FEC0B40-F036-4BBD-8EFE-1627CF8D7B04}"/>
    <cellStyle name="40% - Accent1 2 8" xfId="2313" xr:uid="{00000000-0005-0000-0000-00000F040000}"/>
    <cellStyle name="40% - Accent1 2 8 2" xfId="6619" xr:uid="{00000000-0005-0000-0000-000010040000}"/>
    <cellStyle name="40% - Accent1 2 8 2 2" xfId="15945" xr:uid="{967B2E7D-3FC5-40A5-9D16-3AA31867A33F}"/>
    <cellStyle name="40% - Accent1 2 8 3" xfId="11728" xr:uid="{CE28CD9F-B2F4-4E9C-94D4-3CF8A2BCF76B}"/>
    <cellStyle name="40% - Accent1 2 9" xfId="4553" xr:uid="{00000000-0005-0000-0000-000011040000}"/>
    <cellStyle name="40% - Accent1 2 9 2" xfId="13879" xr:uid="{572D19AE-296E-44FF-91FE-B1BF8CB1353C}"/>
    <cellStyle name="40% - Accent1 3" xfId="54" xr:uid="{00000000-0005-0000-0000-000012040000}"/>
    <cellStyle name="40% - Accent1 3 10" xfId="9666" xr:uid="{A9AFE0E6-8DA2-40D9-A8AB-76920427B6B7}"/>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7024E51E-DB90-417B-8897-0E289D3C6027}"/>
    <cellStyle name="40% - Accent1 3 2 2 2 3" xfId="12226" xr:uid="{BA91EA7D-1DD2-4C0E-83DB-8B38E7D4DA01}"/>
    <cellStyle name="40% - Accent1 3 2 2 3" xfId="4972" xr:uid="{00000000-0005-0000-0000-000017040000}"/>
    <cellStyle name="40% - Accent1 3 2 2 3 2" xfId="14298" xr:uid="{B5D7645F-E237-486F-852A-CC25B833F0C3}"/>
    <cellStyle name="40% - Accent1 3 2 2 4" xfId="9494" xr:uid="{49092FA9-F337-44E8-98C8-15711B1C1558}"/>
    <cellStyle name="40% - Accent1 3 2 2 4 2" xfId="18809" xr:uid="{5CC8B3F7-A580-4599-AFC5-7562994C6298}"/>
    <cellStyle name="40% - Accent1 3 2 2 5" xfId="10081" xr:uid="{2A093A33-6E15-421A-8050-C4F5A5CD6AB3}"/>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3E597E93-FD9B-4F6F-AF2D-AE36B44E1C30}"/>
    <cellStyle name="40% - Accent1 3 2 3 2 3" xfId="12639" xr:uid="{6E840792-ADEA-4974-8CFB-47790A83FF40}"/>
    <cellStyle name="40% - Accent1 3 2 3 3" xfId="5385" xr:uid="{00000000-0005-0000-0000-00001B040000}"/>
    <cellStyle name="40% - Accent1 3 2 3 3 2" xfId="14711" xr:uid="{CAF8E5FA-C278-4272-A815-D2BB4C93B797}"/>
    <cellStyle name="40% - Accent1 3 2 3 4" xfId="10494" xr:uid="{2B96CF08-6058-419A-ABBC-B691CB134CF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C023E945-152C-41F4-8516-F2BAE2CD57FA}"/>
    <cellStyle name="40% - Accent1 3 2 4 2 3" xfId="13052" xr:uid="{7E85CD83-3EB6-4C9D-A4F0-FD86FBE29106}"/>
    <cellStyle name="40% - Accent1 3 2 4 3" xfId="5798" xr:uid="{00000000-0005-0000-0000-00001F040000}"/>
    <cellStyle name="40% - Accent1 3 2 4 3 2" xfId="15124" xr:uid="{E3E332B6-F991-4CB4-B185-EA24E52FD6E6}"/>
    <cellStyle name="40% - Accent1 3 2 4 4" xfId="10907" xr:uid="{0B7321DD-1AC9-402C-A01A-D8DEECFBFBD7}"/>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39499B60-389C-4A68-B130-E2D3B0ED2AD2}"/>
    <cellStyle name="40% - Accent1 3 2 5 2 3" xfId="13465" xr:uid="{877BD1BA-58E8-4907-94EC-0581A0392C8B}"/>
    <cellStyle name="40% - Accent1 3 2 5 3" xfId="6211" xr:uid="{00000000-0005-0000-0000-000023040000}"/>
    <cellStyle name="40% - Accent1 3 2 5 3 2" xfId="15537" xr:uid="{8C32BA6D-A574-42E3-B0BA-E1155DD059B4}"/>
    <cellStyle name="40% - Accent1 3 2 5 4" xfId="11320" xr:uid="{771B64B9-D3B8-4FAA-A4F8-D68B550B0CEC}"/>
    <cellStyle name="40% - Accent1 3 2 6" xfId="2318" xr:uid="{00000000-0005-0000-0000-000024040000}"/>
    <cellStyle name="40% - Accent1 3 2 6 2" xfId="6624" xr:uid="{00000000-0005-0000-0000-000025040000}"/>
    <cellStyle name="40% - Accent1 3 2 6 2 2" xfId="15950" xr:uid="{831AF46F-D7DF-4276-B500-8A44E6C337B7}"/>
    <cellStyle name="40% - Accent1 3 2 6 3" xfId="11733" xr:uid="{19E92632-D431-41D5-A4B8-8F2D2C4914BC}"/>
    <cellStyle name="40% - Accent1 3 2 7" xfId="4558" xr:uid="{00000000-0005-0000-0000-000026040000}"/>
    <cellStyle name="40% - Accent1 3 2 7 2" xfId="13884" xr:uid="{F00B1199-D37D-46E6-914D-4ECC7897FBDF}"/>
    <cellStyle name="40% - Accent1 3 2 8" xfId="9069" xr:uid="{F3D9FD63-8946-4492-B81A-42936E8B246D}"/>
    <cellStyle name="40% - Accent1 3 2 8 2" xfId="18393" xr:uid="{CE9150D7-2E09-464C-A9B2-679E7C10746E}"/>
    <cellStyle name="40% - Accent1 3 2 9" xfId="9667" xr:uid="{88D8A7A1-D5A1-48EA-9C76-86DDD6FA59B2}"/>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1A614E83-81B1-41AD-8C13-530BCA3EC1F9}"/>
    <cellStyle name="40% - Accent1 3 3 2 3" xfId="12225" xr:uid="{BF281452-3BA0-4B4F-8541-41B8052E529C}"/>
    <cellStyle name="40% - Accent1 3 3 3" xfId="4971" xr:uid="{00000000-0005-0000-0000-00002A040000}"/>
    <cellStyle name="40% - Accent1 3 3 3 2" xfId="14297" xr:uid="{30F971AB-5CF7-42C8-AC57-C8FDA29127AF}"/>
    <cellStyle name="40% - Accent1 3 3 4" xfId="9287" xr:uid="{8C21B573-3D31-49DA-ACD8-D3EC7CC3A858}"/>
    <cellStyle name="40% - Accent1 3 3 4 2" xfId="18602" xr:uid="{655F8A2B-5384-47FC-A143-8E24A56D9ABF}"/>
    <cellStyle name="40% - Accent1 3 3 5" xfId="10080" xr:uid="{0E81D754-7178-49D9-8C73-0E90822076BC}"/>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9929E9B9-773E-4EDA-895C-A0E5F316345A}"/>
    <cellStyle name="40% - Accent1 3 4 2 3" xfId="12638" xr:uid="{D7EB06C8-84FC-4D53-A08B-C32789414B36}"/>
    <cellStyle name="40% - Accent1 3 4 3" xfId="5384" xr:uid="{00000000-0005-0000-0000-00002E040000}"/>
    <cellStyle name="40% - Accent1 3 4 3 2" xfId="14710" xr:uid="{6FC170AE-DCD1-4DAA-8D6F-2AF64D720540}"/>
    <cellStyle name="40% - Accent1 3 4 4" xfId="10493" xr:uid="{C187710F-A10F-49BD-AE2A-46D8697BFBD7}"/>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D56D9F81-A45C-4402-A5CD-9CE2091A3588}"/>
    <cellStyle name="40% - Accent1 3 5 2 3" xfId="13051" xr:uid="{507BF3F3-63BB-433E-B4AF-EF6FB22A380D}"/>
    <cellStyle name="40% - Accent1 3 5 3" xfId="5797" xr:uid="{00000000-0005-0000-0000-000032040000}"/>
    <cellStyle name="40% - Accent1 3 5 3 2" xfId="15123" xr:uid="{860404B7-FB9E-4D0D-8ADF-46D4DDBD193D}"/>
    <cellStyle name="40% - Accent1 3 5 4" xfId="10906" xr:uid="{C7510F2A-6359-4A8A-94FE-91677AC9DE37}"/>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33BCD016-1B7D-4A44-9CF0-BE50F43D1E9C}"/>
    <cellStyle name="40% - Accent1 3 6 2 3" xfId="13464" xr:uid="{E38F07FC-423A-47A3-A2B0-888157D505A8}"/>
    <cellStyle name="40% - Accent1 3 6 3" xfId="6210" xr:uid="{00000000-0005-0000-0000-000036040000}"/>
    <cellStyle name="40% - Accent1 3 6 3 2" xfId="15536" xr:uid="{F3479030-5B5C-4090-9650-4AC615AF81CF}"/>
    <cellStyle name="40% - Accent1 3 6 4" xfId="11319" xr:uid="{4276E164-8D6B-487B-8E1B-3FEAE3262528}"/>
    <cellStyle name="40% - Accent1 3 7" xfId="2317" xr:uid="{00000000-0005-0000-0000-000037040000}"/>
    <cellStyle name="40% - Accent1 3 7 2" xfId="6623" xr:uid="{00000000-0005-0000-0000-000038040000}"/>
    <cellStyle name="40% - Accent1 3 7 2 2" xfId="15949" xr:uid="{EF7B3BED-B33A-454B-8015-5333678F4326}"/>
    <cellStyle name="40% - Accent1 3 7 3" xfId="11732" xr:uid="{AFCF6FD0-050A-47A4-BBDC-F37D6CBDB79B}"/>
    <cellStyle name="40% - Accent1 3 8" xfId="4557" xr:uid="{00000000-0005-0000-0000-000039040000}"/>
    <cellStyle name="40% - Accent1 3 8 2" xfId="13883" xr:uid="{CD86730C-B979-4126-A24C-6D772C0345E6}"/>
    <cellStyle name="40% - Accent1 3 9" xfId="8862" xr:uid="{2CC30516-31CA-485E-88BE-FCC7F9756A95}"/>
    <cellStyle name="40% - Accent1 3 9 2" xfId="18186" xr:uid="{E916DBA1-D3CA-44AA-B7A9-751E768404D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254E9C85-5B20-4D89-8634-5630D56E8DB3}"/>
    <cellStyle name="40% - Accent1 4 2 2 3" xfId="12227" xr:uid="{219211E9-2FE5-4044-8B87-A8CB61F66BD6}"/>
    <cellStyle name="40% - Accent1 4 2 3" xfId="4973" xr:uid="{00000000-0005-0000-0000-00003E040000}"/>
    <cellStyle name="40% - Accent1 4 2 3 2" xfId="14299" xr:uid="{635282DF-17EB-4A7D-BA0A-B14B1AF66519}"/>
    <cellStyle name="40% - Accent1 4 2 4" xfId="9373" xr:uid="{3BC949C7-8F86-44EA-9F10-CF277586B131}"/>
    <cellStyle name="40% - Accent1 4 2 4 2" xfId="18688" xr:uid="{618CACFF-1939-42F4-B472-3EF9C993AF00}"/>
    <cellStyle name="40% - Accent1 4 2 5" xfId="10082" xr:uid="{055F3D82-80D7-467A-964A-2D946855F855}"/>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76C29593-D0B7-4D1B-AAD3-F557584D21CA}"/>
    <cellStyle name="40% - Accent1 4 3 2 3" xfId="12640" xr:uid="{FAF83F58-8AE2-456A-8D90-55FE4A59B138}"/>
    <cellStyle name="40% - Accent1 4 3 3" xfId="5386" xr:uid="{00000000-0005-0000-0000-000042040000}"/>
    <cellStyle name="40% - Accent1 4 3 3 2" xfId="14712" xr:uid="{E97DAC5C-45D9-4790-9661-CE69B7515E62}"/>
    <cellStyle name="40% - Accent1 4 3 4" xfId="10495" xr:uid="{81334BD2-B523-45E0-8EE7-97C027B9991E}"/>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8A1CD4FD-2EB4-4445-8E32-38AD0841472D}"/>
    <cellStyle name="40% - Accent1 4 4 2 3" xfId="13053" xr:uid="{8462F108-07F2-4481-938D-8AB44920A08D}"/>
    <cellStyle name="40% - Accent1 4 4 3" xfId="5799" xr:uid="{00000000-0005-0000-0000-000046040000}"/>
    <cellStyle name="40% - Accent1 4 4 3 2" xfId="15125" xr:uid="{6FBE33E3-4134-4DB9-9A45-741B48B92858}"/>
    <cellStyle name="40% - Accent1 4 4 4" xfId="10908" xr:uid="{E5D8CDC2-66E0-430E-8B0A-0AF1EFCFB1C6}"/>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48A74324-EB1E-48C2-9E24-B8942030DEEE}"/>
    <cellStyle name="40% - Accent1 4 5 2 3" xfId="13466" xr:uid="{3078C43E-1DB0-4CC3-8550-F2E53D107A34}"/>
    <cellStyle name="40% - Accent1 4 5 3" xfId="6212" xr:uid="{00000000-0005-0000-0000-00004A040000}"/>
    <cellStyle name="40% - Accent1 4 5 3 2" xfId="15538" xr:uid="{06691FB5-41B9-4FDA-9C75-42865BBF59B6}"/>
    <cellStyle name="40% - Accent1 4 5 4" xfId="11321" xr:uid="{8BD3D13D-1717-4459-AC25-2F144E1AA320}"/>
    <cellStyle name="40% - Accent1 4 6" xfId="2319" xr:uid="{00000000-0005-0000-0000-00004B040000}"/>
    <cellStyle name="40% - Accent1 4 6 2" xfId="6625" xr:uid="{00000000-0005-0000-0000-00004C040000}"/>
    <cellStyle name="40% - Accent1 4 6 2 2" xfId="15951" xr:uid="{B53A97EA-BEC5-4714-9E60-23E1B5C9C7DE}"/>
    <cellStyle name="40% - Accent1 4 6 3" xfId="11734" xr:uid="{76559E56-2AC4-47B1-870A-16D3163966E3}"/>
    <cellStyle name="40% - Accent1 4 7" xfId="4559" xr:uid="{00000000-0005-0000-0000-00004D040000}"/>
    <cellStyle name="40% - Accent1 4 7 2" xfId="13885" xr:uid="{90B6A29C-C529-4583-A4D9-C9336549C411}"/>
    <cellStyle name="40% - Accent1 4 8" xfId="8948" xr:uid="{7BCBB449-71B8-4468-A700-0125C7659C3D}"/>
    <cellStyle name="40% - Accent1 4 8 2" xfId="18272" xr:uid="{BAF32DD4-3E43-4D5E-A34B-BE2604BC913E}"/>
    <cellStyle name="40% - Accent1 4 9" xfId="9668" xr:uid="{3022C998-36C0-409F-A19F-A7EBAEC04A29}"/>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DB01162B-E1E4-4FDE-9ED4-D07300F08D68}"/>
    <cellStyle name="40% - Accent1 5 2 3" xfId="12220" xr:uid="{684917DA-405B-43DA-BEA2-1E6D0B9797D2}"/>
    <cellStyle name="40% - Accent1 5 3" xfId="4966" xr:uid="{00000000-0005-0000-0000-000051040000}"/>
    <cellStyle name="40% - Accent1 5 3 2" xfId="14292" xr:uid="{C1EEAF03-DA07-44DE-B0AC-1AEFEE4A4D65}"/>
    <cellStyle name="40% - Accent1 5 4" xfId="9181" xr:uid="{332DA761-F1AA-4FF3-9BBB-9ECEE19D2DFF}"/>
    <cellStyle name="40% - Accent1 5 4 2" xfId="18499" xr:uid="{4DD7C148-7276-4674-A164-A437431956DA}"/>
    <cellStyle name="40% - Accent1 5 5" xfId="10075" xr:uid="{287CFC84-795B-437C-89E1-D9ACCEFD0D18}"/>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8D70F465-A82D-4859-8F19-3C3E5DD3DB68}"/>
    <cellStyle name="40% - Accent1 6 2 3" xfId="12633" xr:uid="{FCBF1314-A99F-4A66-8755-A4F592666EB8}"/>
    <cellStyle name="40% - Accent1 6 3" xfId="5379" xr:uid="{00000000-0005-0000-0000-000055040000}"/>
    <cellStyle name="40% - Accent1 6 3 2" xfId="14705" xr:uid="{3A524AE5-2BF0-4802-AFBA-9B33F4A7874B}"/>
    <cellStyle name="40% - Accent1 6 4" xfId="10488" xr:uid="{64572CF5-A9D9-4E78-A9A2-FA8EA53DC0D5}"/>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FE9C7AF4-4993-481A-A387-C961E138EAF1}"/>
    <cellStyle name="40% - Accent1 7 2 3" xfId="13046" xr:uid="{433DF9C6-8252-48E5-8048-DDC766E4C54A}"/>
    <cellStyle name="40% - Accent1 7 3" xfId="5792" xr:uid="{00000000-0005-0000-0000-000059040000}"/>
    <cellStyle name="40% - Accent1 7 3 2" xfId="15118" xr:uid="{355C3CB5-CBF4-4192-A18E-D3E19502F784}"/>
    <cellStyle name="40% - Accent1 7 4" xfId="10901" xr:uid="{30D4A850-18C4-4F42-BE9D-AF9C08BC3D8C}"/>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3AB892F5-4AC1-4D1B-B9DD-7A5B714F9E4E}"/>
    <cellStyle name="40% - Accent1 8 2 3" xfId="13459" xr:uid="{B89E4CAB-AAED-400B-97A1-AB3DA76EF288}"/>
    <cellStyle name="40% - Accent1 8 3" xfId="6205" xr:uid="{00000000-0005-0000-0000-00005D040000}"/>
    <cellStyle name="40% - Accent1 8 3 2" xfId="15531" xr:uid="{F2F0D37E-2E68-46D6-923B-521F7DAD95DB}"/>
    <cellStyle name="40% - Accent1 8 4" xfId="11314" xr:uid="{DC163C40-9085-4A69-8DEB-E3CADFF0203D}"/>
    <cellStyle name="40% - Accent1 9" xfId="2312" xr:uid="{00000000-0005-0000-0000-00005E040000}"/>
    <cellStyle name="40% - Accent1 9 2" xfId="6618" xr:uid="{00000000-0005-0000-0000-00005F040000}"/>
    <cellStyle name="40% - Accent1 9 2 2" xfId="15944" xr:uid="{4817B0A0-AF64-4F33-A69E-66B24DEF5766}"/>
    <cellStyle name="40% - Accent1 9 3" xfId="11727" xr:uid="{22A095E7-5A69-492C-8334-0899EADF13D5}"/>
    <cellStyle name="40% - Accent2" xfId="57" builtinId="35" customBuiltin="1"/>
    <cellStyle name="40% - Accent2 10" xfId="4560" xr:uid="{00000000-0005-0000-0000-000061040000}"/>
    <cellStyle name="40% - Accent2 10 2" xfId="13886" xr:uid="{6AA1562E-8E4A-4905-8939-A483799A1AF8}"/>
    <cellStyle name="40% - Accent2 11" xfId="8761" xr:uid="{8631D9D1-53DA-4958-8F7C-AD68B7B91D61}"/>
    <cellStyle name="40% - Accent2 11 2" xfId="18085" xr:uid="{DBE45A8F-9F7A-42E8-A4A3-DFD3D2F384EB}"/>
    <cellStyle name="40% - Accent2 12" xfId="9669" xr:uid="{C5EACB32-264B-4F22-854C-AA40E7C026E8}"/>
    <cellStyle name="40% - Accent2 2" xfId="58" xr:uid="{00000000-0005-0000-0000-000062040000}"/>
    <cellStyle name="40% - Accent2 2 10" xfId="8799" xr:uid="{E3EEC046-6E76-44A5-8D1B-64621A8F0AC5}"/>
    <cellStyle name="40% - Accent2 2 10 2" xfId="18123" xr:uid="{068AC60A-C983-44A2-9029-E98AC0C3A485}"/>
    <cellStyle name="40% - Accent2 2 11" xfId="9670" xr:uid="{67BCAE0D-4C45-46BD-9B45-E3EAB702F5D9}"/>
    <cellStyle name="40% - Accent2 2 2" xfId="59" xr:uid="{00000000-0005-0000-0000-000063040000}"/>
    <cellStyle name="40% - Accent2 2 2 10" xfId="9671" xr:uid="{A897BB96-5B0C-48ED-80DA-320B59E36A8E}"/>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1052C625-8C36-41FB-935C-76088AD12F5A}"/>
    <cellStyle name="40% - Accent2 2 2 2 2 2 3" xfId="12231" xr:uid="{D644A030-FB6F-4084-A0DD-76A27B90765E}"/>
    <cellStyle name="40% - Accent2 2 2 2 2 3" xfId="4977" xr:uid="{00000000-0005-0000-0000-000068040000}"/>
    <cellStyle name="40% - Accent2 2 2 2 2 3 2" xfId="14303" xr:uid="{77B5CE2D-C15B-42D4-A32E-A1A27FBC91BF}"/>
    <cellStyle name="40% - Accent2 2 2 2 2 4" xfId="9534" xr:uid="{9F53A086-33FC-422E-9DFF-72D04AC43949}"/>
    <cellStyle name="40% - Accent2 2 2 2 2 4 2" xfId="18849" xr:uid="{5112043A-84BB-4888-A372-7B06E84F02CC}"/>
    <cellStyle name="40% - Accent2 2 2 2 2 5" xfId="10086" xr:uid="{9FE5D939-772F-4AC6-A1AB-28E8D6A3665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1AC7231D-F2D1-4128-BB23-383A6888C933}"/>
    <cellStyle name="40% - Accent2 2 2 2 3 2 3" xfId="12644" xr:uid="{7F80C914-D300-49B0-9D97-0F9323336B19}"/>
    <cellStyle name="40% - Accent2 2 2 2 3 3" xfId="5390" xr:uid="{00000000-0005-0000-0000-00006C040000}"/>
    <cellStyle name="40% - Accent2 2 2 2 3 3 2" xfId="14716" xr:uid="{008A79DF-C0D7-4188-9F4F-31A2093B2C76}"/>
    <cellStyle name="40% - Accent2 2 2 2 3 4" xfId="10499" xr:uid="{906AEC69-254F-41E4-A663-6230B36BFBBB}"/>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3740C2BC-DC4A-44BC-A022-13E064BBD5AF}"/>
    <cellStyle name="40% - Accent2 2 2 2 4 2 3" xfId="13057" xr:uid="{E446C3B9-37C9-4CF8-A80B-8D935B125BD8}"/>
    <cellStyle name="40% - Accent2 2 2 2 4 3" xfId="5803" xr:uid="{00000000-0005-0000-0000-000070040000}"/>
    <cellStyle name="40% - Accent2 2 2 2 4 3 2" xfId="15129" xr:uid="{A21B1FE8-64D2-4C0C-9955-0DC34B1600E0}"/>
    <cellStyle name="40% - Accent2 2 2 2 4 4" xfId="10912" xr:uid="{8085EABC-55BC-4870-808F-8262E5A48AAA}"/>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E62B816E-A688-4A0F-8BA6-808F2DF8556C}"/>
    <cellStyle name="40% - Accent2 2 2 2 5 2 3" xfId="13470" xr:uid="{DA3DC219-0B55-4F8F-817D-F27B2911E183}"/>
    <cellStyle name="40% - Accent2 2 2 2 5 3" xfId="6216" xr:uid="{00000000-0005-0000-0000-000074040000}"/>
    <cellStyle name="40% - Accent2 2 2 2 5 3 2" xfId="15542" xr:uid="{3563747C-9C70-4F09-AC4F-D70CE08C310D}"/>
    <cellStyle name="40% - Accent2 2 2 2 5 4" xfId="11325" xr:uid="{691DAD22-BE69-4B1C-B21A-5DE808E73B64}"/>
    <cellStyle name="40% - Accent2 2 2 2 6" xfId="2323" xr:uid="{00000000-0005-0000-0000-000075040000}"/>
    <cellStyle name="40% - Accent2 2 2 2 6 2" xfId="6629" xr:uid="{00000000-0005-0000-0000-000076040000}"/>
    <cellStyle name="40% - Accent2 2 2 2 6 2 2" xfId="15955" xr:uid="{B48ECEFC-3CD7-4257-A6DE-1A93B690A665}"/>
    <cellStyle name="40% - Accent2 2 2 2 6 3" xfId="11738" xr:uid="{889CDAAB-AECC-4D09-99E8-E40FC244F84C}"/>
    <cellStyle name="40% - Accent2 2 2 2 7" xfId="4563" xr:uid="{00000000-0005-0000-0000-000077040000}"/>
    <cellStyle name="40% - Accent2 2 2 2 7 2" xfId="13889" xr:uid="{166BE40F-8CD7-4606-A4E3-4B2E1F82AE42}"/>
    <cellStyle name="40% - Accent2 2 2 2 8" xfId="9109" xr:uid="{73F0012D-4386-4224-BFB0-7DB1C0E98822}"/>
    <cellStyle name="40% - Accent2 2 2 2 8 2" xfId="18433" xr:uid="{90A40C77-3442-46EB-BA3E-8B95CFC2F54E}"/>
    <cellStyle name="40% - Accent2 2 2 2 9" xfId="9672" xr:uid="{40A11551-2ECD-43A6-B38E-3DB6F96FD08B}"/>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9D2CE8D2-B47F-4E3E-93A1-9772E16E12FB}"/>
    <cellStyle name="40% - Accent2 2 2 3 2 3" xfId="12230" xr:uid="{F3F72CBC-7D8F-42DF-AA3F-F26584ADBA0C}"/>
    <cellStyle name="40% - Accent2 2 2 3 3" xfId="4976" xr:uid="{00000000-0005-0000-0000-00007B040000}"/>
    <cellStyle name="40% - Accent2 2 2 3 3 2" xfId="14302" xr:uid="{FAD54917-AFD4-4A07-8CDE-90E89C804441}"/>
    <cellStyle name="40% - Accent2 2 2 3 4" xfId="9327" xr:uid="{F2BC9A12-B689-4B73-B71E-77A9F0BC7FE4}"/>
    <cellStyle name="40% - Accent2 2 2 3 4 2" xfId="18642" xr:uid="{A5C74E5E-5BF0-43AA-8866-0CBFAFACE882}"/>
    <cellStyle name="40% - Accent2 2 2 3 5" xfId="10085" xr:uid="{4DA7D7E8-43F1-4CEA-AF8C-936153B5F1C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F571EC84-5E2E-45FE-98DB-AD86367DC63F}"/>
    <cellStyle name="40% - Accent2 2 2 4 2 3" xfId="12643" xr:uid="{34FA7ABD-EB66-4C3F-A2BE-84901473312E}"/>
    <cellStyle name="40% - Accent2 2 2 4 3" xfId="5389" xr:uid="{00000000-0005-0000-0000-00007F040000}"/>
    <cellStyle name="40% - Accent2 2 2 4 3 2" xfId="14715" xr:uid="{64BB5133-9BD5-4A78-9430-631FF23BAA51}"/>
    <cellStyle name="40% - Accent2 2 2 4 4" xfId="10498" xr:uid="{313FF72A-BC1E-49EC-9843-A9A0B48A206A}"/>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F76C7E53-98CF-4139-A131-789CDF6ADEA8}"/>
    <cellStyle name="40% - Accent2 2 2 5 2 3" xfId="13056" xr:uid="{4478209E-A710-44F1-AB49-049577F3DA65}"/>
    <cellStyle name="40% - Accent2 2 2 5 3" xfId="5802" xr:uid="{00000000-0005-0000-0000-000083040000}"/>
    <cellStyle name="40% - Accent2 2 2 5 3 2" xfId="15128" xr:uid="{B59FFCAD-C0A9-43F3-8CE5-9D5EF2FA0034}"/>
    <cellStyle name="40% - Accent2 2 2 5 4" xfId="10911" xr:uid="{0553C259-D3D3-4BA1-8C2C-5986B0EFCAD6}"/>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C32430E4-4981-4C7D-9E6D-73DBD90556CC}"/>
    <cellStyle name="40% - Accent2 2 2 6 2 3" xfId="13469" xr:uid="{E701C39A-FDEC-44F1-A2FC-4536CFCE2206}"/>
    <cellStyle name="40% - Accent2 2 2 6 3" xfId="6215" xr:uid="{00000000-0005-0000-0000-000087040000}"/>
    <cellStyle name="40% - Accent2 2 2 6 3 2" xfId="15541" xr:uid="{C2A47CB6-AFFD-4198-A95B-BC12BB390A46}"/>
    <cellStyle name="40% - Accent2 2 2 6 4" xfId="11324" xr:uid="{298F1B92-64F3-4007-8705-32ACAD536078}"/>
    <cellStyle name="40% - Accent2 2 2 7" xfId="2322" xr:uid="{00000000-0005-0000-0000-000088040000}"/>
    <cellStyle name="40% - Accent2 2 2 7 2" xfId="6628" xr:uid="{00000000-0005-0000-0000-000089040000}"/>
    <cellStyle name="40% - Accent2 2 2 7 2 2" xfId="15954" xr:uid="{5384B73C-E3D5-4DE5-AEC5-787208FE1019}"/>
    <cellStyle name="40% - Accent2 2 2 7 3" xfId="11737" xr:uid="{272798FA-B143-47CE-A4C4-78E01B585E07}"/>
    <cellStyle name="40% - Accent2 2 2 8" xfId="4562" xr:uid="{00000000-0005-0000-0000-00008A040000}"/>
    <cellStyle name="40% - Accent2 2 2 8 2" xfId="13888" xr:uid="{9B1B1759-9EB7-4A3A-ADBB-55E0D85F9BA9}"/>
    <cellStyle name="40% - Accent2 2 2 9" xfId="8902" xr:uid="{5D0C2022-B7A4-4DE2-895F-9E4BE510A7B9}"/>
    <cellStyle name="40% - Accent2 2 2 9 2" xfId="18226" xr:uid="{31BD4042-B244-4A8E-81FB-B8F00742A547}"/>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49092C87-B0DF-47D9-BD2F-908CA32BFFA1}"/>
    <cellStyle name="40% - Accent2 2 3 2 2 3" xfId="12232" xr:uid="{828600F5-5B7B-45EE-9B45-CE76927F4895}"/>
    <cellStyle name="40% - Accent2 2 3 2 3" xfId="4978" xr:uid="{00000000-0005-0000-0000-00008F040000}"/>
    <cellStyle name="40% - Accent2 2 3 2 3 2" xfId="14304" xr:uid="{7667476F-6B5F-4952-A714-60744BA7F60E}"/>
    <cellStyle name="40% - Accent2 2 3 2 4" xfId="9431" xr:uid="{BD4E3561-302E-4359-AAF3-4F2E007BC697}"/>
    <cellStyle name="40% - Accent2 2 3 2 4 2" xfId="18746" xr:uid="{DB0312B4-E7E5-48FB-8FD4-ADB9FA9CD897}"/>
    <cellStyle name="40% - Accent2 2 3 2 5" xfId="10087" xr:uid="{1BB356C2-7966-44C8-AB70-5959CDE55FD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E9E06810-33AE-4A47-A5A6-A9AA061EBD4B}"/>
    <cellStyle name="40% - Accent2 2 3 3 2 3" xfId="12645" xr:uid="{379120B8-0F3A-4D8D-BECF-C00AF8EBF18D}"/>
    <cellStyle name="40% - Accent2 2 3 3 3" xfId="5391" xr:uid="{00000000-0005-0000-0000-000093040000}"/>
    <cellStyle name="40% - Accent2 2 3 3 3 2" xfId="14717" xr:uid="{7441B797-F130-4487-9B8D-E9FDFBDA062B}"/>
    <cellStyle name="40% - Accent2 2 3 3 4" xfId="10500" xr:uid="{B3750A84-37BE-49EE-8264-9A7EA3DB4024}"/>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3669D28E-763D-4D12-89F0-D0FDFAE09409}"/>
    <cellStyle name="40% - Accent2 2 3 4 2 3" xfId="13058" xr:uid="{1786FAB3-4B2B-44BA-8D02-1C54E3335C1E}"/>
    <cellStyle name="40% - Accent2 2 3 4 3" xfId="5804" xr:uid="{00000000-0005-0000-0000-000097040000}"/>
    <cellStyle name="40% - Accent2 2 3 4 3 2" xfId="15130" xr:uid="{CA7D938C-ED58-44BC-AEDA-038DE22669A9}"/>
    <cellStyle name="40% - Accent2 2 3 4 4" xfId="10913" xr:uid="{1D109A08-72D6-4E07-97E0-BBC01DDDC1EA}"/>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77512833-7E0D-4F79-96C2-8B2E30A90DEA}"/>
    <cellStyle name="40% - Accent2 2 3 5 2 3" xfId="13471" xr:uid="{87E09D38-4594-4073-BC7F-8502F1A0DACE}"/>
    <cellStyle name="40% - Accent2 2 3 5 3" xfId="6217" xr:uid="{00000000-0005-0000-0000-00009B040000}"/>
    <cellStyle name="40% - Accent2 2 3 5 3 2" xfId="15543" xr:uid="{8D1C4B8B-2634-4297-B32E-67DCEC8DE52D}"/>
    <cellStyle name="40% - Accent2 2 3 5 4" xfId="11326" xr:uid="{B3973705-4EBE-4EDB-AFC8-C06F36A3AE22}"/>
    <cellStyle name="40% - Accent2 2 3 6" xfId="2324" xr:uid="{00000000-0005-0000-0000-00009C040000}"/>
    <cellStyle name="40% - Accent2 2 3 6 2" xfId="6630" xr:uid="{00000000-0005-0000-0000-00009D040000}"/>
    <cellStyle name="40% - Accent2 2 3 6 2 2" xfId="15956" xr:uid="{52400477-5A59-40FB-B4C3-735F118D56ED}"/>
    <cellStyle name="40% - Accent2 2 3 6 3" xfId="11739" xr:uid="{34E6F8C1-66D6-4BE7-987F-894955357B0B}"/>
    <cellStyle name="40% - Accent2 2 3 7" xfId="4564" xr:uid="{00000000-0005-0000-0000-00009E040000}"/>
    <cellStyle name="40% - Accent2 2 3 7 2" xfId="13890" xr:uid="{872ED80B-7763-4020-8635-D2C171158C58}"/>
    <cellStyle name="40% - Accent2 2 3 8" xfId="9006" xr:uid="{E6E89EA5-B76F-4FCC-89B9-DD4135B6364B}"/>
    <cellStyle name="40% - Accent2 2 3 8 2" xfId="18330" xr:uid="{1FBB9B31-7241-43A0-99F3-3C25FBE1B667}"/>
    <cellStyle name="40% - Accent2 2 3 9" xfId="9673" xr:uid="{59DE804D-961E-4D1D-8E7A-C288761A3C96}"/>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974ACAB7-4DD5-4075-B846-2999B6B0B876}"/>
    <cellStyle name="40% - Accent2 2 4 2 3" xfId="12229" xr:uid="{C295AD4A-0477-488F-9949-506009186725}"/>
    <cellStyle name="40% - Accent2 2 4 3" xfId="4975" xr:uid="{00000000-0005-0000-0000-0000A2040000}"/>
    <cellStyle name="40% - Accent2 2 4 3 2" xfId="14301" xr:uid="{58823CC9-8355-462E-947A-668EBF643E24}"/>
    <cellStyle name="40% - Accent2 2 4 4" xfId="9223" xr:uid="{FA9890B4-781A-4E4C-81EE-BC7448559828}"/>
    <cellStyle name="40% - Accent2 2 4 4 2" xfId="18539" xr:uid="{0D5BAF01-4392-427A-AD4E-179105C9A570}"/>
    <cellStyle name="40% - Accent2 2 4 5" xfId="10084" xr:uid="{84AC28CA-10D5-41FC-93DD-7138FEDDAB8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1B1C2124-4B43-4890-9A38-C7D5F2FA1C82}"/>
    <cellStyle name="40% - Accent2 2 5 2 3" xfId="12642" xr:uid="{135C2CD7-2C6B-4F20-8F6D-77EE51FDD462}"/>
    <cellStyle name="40% - Accent2 2 5 3" xfId="5388" xr:uid="{00000000-0005-0000-0000-0000A6040000}"/>
    <cellStyle name="40% - Accent2 2 5 3 2" xfId="14714" xr:uid="{21696F11-EBC8-4912-98E9-99BC9B8A4E22}"/>
    <cellStyle name="40% - Accent2 2 5 4" xfId="10497" xr:uid="{9C0FCC71-D7AE-4F37-AA2A-38BD3C16BDBF}"/>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8628FCAE-5010-4A75-8CDA-EAEDDC238BEA}"/>
    <cellStyle name="40% - Accent2 2 6 2 3" xfId="13055" xr:uid="{D9813E89-5B55-4D64-A2B3-715419EAD0F5}"/>
    <cellStyle name="40% - Accent2 2 6 3" xfId="5801" xr:uid="{00000000-0005-0000-0000-0000AA040000}"/>
    <cellStyle name="40% - Accent2 2 6 3 2" xfId="15127" xr:uid="{4FD909B7-9F25-4696-B2C4-9653028D21D3}"/>
    <cellStyle name="40% - Accent2 2 6 4" xfId="10910" xr:uid="{528C3D12-8A77-41CC-A3CA-2C7C8FE9AB2F}"/>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5E6ECEB7-509F-4FA2-8A7E-D1CDD0CB55DE}"/>
    <cellStyle name="40% - Accent2 2 7 2 3" xfId="13468" xr:uid="{35AAD93B-C537-464B-8515-2CC8955F5446}"/>
    <cellStyle name="40% - Accent2 2 7 3" xfId="6214" xr:uid="{00000000-0005-0000-0000-0000AE040000}"/>
    <cellStyle name="40% - Accent2 2 7 3 2" xfId="15540" xr:uid="{F47A7B8E-27A7-4E35-AD5B-483EAB53EB87}"/>
    <cellStyle name="40% - Accent2 2 7 4" xfId="11323" xr:uid="{802586E7-FF0E-4C5D-9393-A7068259857E}"/>
    <cellStyle name="40% - Accent2 2 8" xfId="2321" xr:uid="{00000000-0005-0000-0000-0000AF040000}"/>
    <cellStyle name="40% - Accent2 2 8 2" xfId="6627" xr:uid="{00000000-0005-0000-0000-0000B0040000}"/>
    <cellStyle name="40% - Accent2 2 8 2 2" xfId="15953" xr:uid="{CBF57F04-F82A-4B7F-AC38-6EDD7FE0AF20}"/>
    <cellStyle name="40% - Accent2 2 8 3" xfId="11736" xr:uid="{2EEEE763-6181-4378-828C-6DF1BC9F1B5C}"/>
    <cellStyle name="40% - Accent2 2 9" xfId="4561" xr:uid="{00000000-0005-0000-0000-0000B1040000}"/>
    <cellStyle name="40% - Accent2 2 9 2" xfId="13887" xr:uid="{F8827E97-5D8C-4025-B90A-21EBDC09A8AF}"/>
    <cellStyle name="40% - Accent2 3" xfId="62" xr:uid="{00000000-0005-0000-0000-0000B2040000}"/>
    <cellStyle name="40% - Accent2 3 10" xfId="9674" xr:uid="{854C8FB2-F97F-445D-ACEF-701670104A94}"/>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2A91CC6E-271B-4871-B70A-6C7F6C329CC3}"/>
    <cellStyle name="40% - Accent2 3 2 2 2 3" xfId="12234" xr:uid="{C0D1AE00-0661-48BA-8A03-B429BD5B8D2A}"/>
    <cellStyle name="40% - Accent2 3 2 2 3" xfId="4980" xr:uid="{00000000-0005-0000-0000-0000B7040000}"/>
    <cellStyle name="40% - Accent2 3 2 2 3 2" xfId="14306" xr:uid="{B26242C3-4B2F-4A06-B29C-61BD93F2EBB0}"/>
    <cellStyle name="40% - Accent2 3 2 2 4" xfId="9496" xr:uid="{700FA1AF-D943-4FDB-BFB1-F903AD1F731A}"/>
    <cellStyle name="40% - Accent2 3 2 2 4 2" xfId="18811" xr:uid="{A60DA6A1-9A8E-4FA0-868C-8AF2C1403611}"/>
    <cellStyle name="40% - Accent2 3 2 2 5" xfId="10089" xr:uid="{31B73C13-30D1-4A6F-AB51-22B0E8BF944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7D54E408-E8DA-4F8A-9384-218CE50291D7}"/>
    <cellStyle name="40% - Accent2 3 2 3 2 3" xfId="12647" xr:uid="{146AD433-F55D-42A7-A99E-8BF2DA317B8A}"/>
    <cellStyle name="40% - Accent2 3 2 3 3" xfId="5393" xr:uid="{00000000-0005-0000-0000-0000BB040000}"/>
    <cellStyle name="40% - Accent2 3 2 3 3 2" xfId="14719" xr:uid="{6F7BFD23-1D4D-4885-B3E5-EC496D124045}"/>
    <cellStyle name="40% - Accent2 3 2 3 4" xfId="10502" xr:uid="{A2307776-C608-4766-A4C9-5F11DC53A45E}"/>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D44E0619-D5B9-4A46-8673-3C216C291D66}"/>
    <cellStyle name="40% - Accent2 3 2 4 2 3" xfId="13060" xr:uid="{9AAB17B9-0F2B-4576-8624-7C1170C91DE6}"/>
    <cellStyle name="40% - Accent2 3 2 4 3" xfId="5806" xr:uid="{00000000-0005-0000-0000-0000BF040000}"/>
    <cellStyle name="40% - Accent2 3 2 4 3 2" xfId="15132" xr:uid="{DEFAB045-3D49-4D8F-92EC-BA4979A74322}"/>
    <cellStyle name="40% - Accent2 3 2 4 4" xfId="10915" xr:uid="{3F596E5F-0776-4CFE-AE40-D3AC92E10ACE}"/>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BD52CB9C-83FA-4FA9-B8A6-7951773DE763}"/>
    <cellStyle name="40% - Accent2 3 2 5 2 3" xfId="13473" xr:uid="{100E4008-62F5-4731-A668-4F7404B8D111}"/>
    <cellStyle name="40% - Accent2 3 2 5 3" xfId="6219" xr:uid="{00000000-0005-0000-0000-0000C3040000}"/>
    <cellStyle name="40% - Accent2 3 2 5 3 2" xfId="15545" xr:uid="{65C47328-16C6-465A-896E-C3B10E94AF02}"/>
    <cellStyle name="40% - Accent2 3 2 5 4" xfId="11328" xr:uid="{C501CF61-CD4B-416F-8464-C4CF6749D60C}"/>
    <cellStyle name="40% - Accent2 3 2 6" xfId="2326" xr:uid="{00000000-0005-0000-0000-0000C4040000}"/>
    <cellStyle name="40% - Accent2 3 2 6 2" xfId="6632" xr:uid="{00000000-0005-0000-0000-0000C5040000}"/>
    <cellStyle name="40% - Accent2 3 2 6 2 2" xfId="15958" xr:uid="{5D30DE77-48A4-49DA-B725-9D6F8F06D302}"/>
    <cellStyle name="40% - Accent2 3 2 6 3" xfId="11741" xr:uid="{46852C09-83DC-4937-81E6-65FFA8A50180}"/>
    <cellStyle name="40% - Accent2 3 2 7" xfId="4566" xr:uid="{00000000-0005-0000-0000-0000C6040000}"/>
    <cellStyle name="40% - Accent2 3 2 7 2" xfId="13892" xr:uid="{E7ECB8A9-5791-40B6-A41C-0EECC8A23E9D}"/>
    <cellStyle name="40% - Accent2 3 2 8" xfId="9071" xr:uid="{B5463F05-11FC-4377-B380-DDB549C63AA9}"/>
    <cellStyle name="40% - Accent2 3 2 8 2" xfId="18395" xr:uid="{1CD9FA8D-3E01-4AE3-BBAD-7C51CD7D9AF5}"/>
    <cellStyle name="40% - Accent2 3 2 9" xfId="9675" xr:uid="{0CC7382E-6132-48F4-8A18-C513D613E825}"/>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3C01457B-3F2A-4E40-B18A-B22ADF03E517}"/>
    <cellStyle name="40% - Accent2 3 3 2 3" xfId="12233" xr:uid="{2CD8A646-E72E-4BB6-92A5-9C31DD41DB9C}"/>
    <cellStyle name="40% - Accent2 3 3 3" xfId="4979" xr:uid="{00000000-0005-0000-0000-0000CA040000}"/>
    <cellStyle name="40% - Accent2 3 3 3 2" xfId="14305" xr:uid="{62A16864-9EEE-4785-8652-511AD0C83BE6}"/>
    <cellStyle name="40% - Accent2 3 3 4" xfId="9289" xr:uid="{B234EB9F-4AFE-41A2-A17D-ABC1D0F80875}"/>
    <cellStyle name="40% - Accent2 3 3 4 2" xfId="18604" xr:uid="{D38ED1F6-28FC-49FF-A957-B6B09720462F}"/>
    <cellStyle name="40% - Accent2 3 3 5" xfId="10088" xr:uid="{6F7430DF-9CE9-4BA5-93F7-8D626614BC77}"/>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8138D8F4-172D-40D7-A432-DA2B5805F5DC}"/>
    <cellStyle name="40% - Accent2 3 4 2 3" xfId="12646" xr:uid="{7C2B6DF9-4895-460B-A625-D9ACF06FAEC5}"/>
    <cellStyle name="40% - Accent2 3 4 3" xfId="5392" xr:uid="{00000000-0005-0000-0000-0000CE040000}"/>
    <cellStyle name="40% - Accent2 3 4 3 2" xfId="14718" xr:uid="{B312D157-F41A-4F33-88A6-6C78CC528BB6}"/>
    <cellStyle name="40% - Accent2 3 4 4" xfId="10501" xr:uid="{715AC0A1-7FB8-456D-A9EB-BEE3254EC611}"/>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C2834A04-1C53-487F-8555-839D8A7C6AA2}"/>
    <cellStyle name="40% - Accent2 3 5 2 3" xfId="13059" xr:uid="{F611AD6B-54EE-46EB-AE4B-884337A1535F}"/>
    <cellStyle name="40% - Accent2 3 5 3" xfId="5805" xr:uid="{00000000-0005-0000-0000-0000D2040000}"/>
    <cellStyle name="40% - Accent2 3 5 3 2" xfId="15131" xr:uid="{F940E7BD-5452-4359-AB8C-DEFED4A8CC49}"/>
    <cellStyle name="40% - Accent2 3 5 4" xfId="10914" xr:uid="{81D4EA8C-9A58-4247-8E4E-DD58B156CF3F}"/>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391AD9AF-1FF9-4912-8F0C-CEE70417AAEB}"/>
    <cellStyle name="40% - Accent2 3 6 2 3" xfId="13472" xr:uid="{B03E72BF-0B53-4A21-AE17-032C539B6269}"/>
    <cellStyle name="40% - Accent2 3 6 3" xfId="6218" xr:uid="{00000000-0005-0000-0000-0000D6040000}"/>
    <cellStyle name="40% - Accent2 3 6 3 2" xfId="15544" xr:uid="{67517829-D61E-418F-AB9C-FDE76C99EB4F}"/>
    <cellStyle name="40% - Accent2 3 6 4" xfId="11327" xr:uid="{E34B35BC-4540-499D-86D1-EACDA07169D3}"/>
    <cellStyle name="40% - Accent2 3 7" xfId="2325" xr:uid="{00000000-0005-0000-0000-0000D7040000}"/>
    <cellStyle name="40% - Accent2 3 7 2" xfId="6631" xr:uid="{00000000-0005-0000-0000-0000D8040000}"/>
    <cellStyle name="40% - Accent2 3 7 2 2" xfId="15957" xr:uid="{B3AB1E7B-B52F-4676-B0E5-7DE39026973B}"/>
    <cellStyle name="40% - Accent2 3 7 3" xfId="11740" xr:uid="{947AEA35-5BC5-4BCB-9F3C-6E3D7A2BED4F}"/>
    <cellStyle name="40% - Accent2 3 8" xfId="4565" xr:uid="{00000000-0005-0000-0000-0000D9040000}"/>
    <cellStyle name="40% - Accent2 3 8 2" xfId="13891" xr:uid="{10D771AC-1B8B-45FB-B609-09523E613DC5}"/>
    <cellStyle name="40% - Accent2 3 9" xfId="8864" xr:uid="{311EF031-8CA9-4ACC-8705-6D408E1B50DB}"/>
    <cellStyle name="40% - Accent2 3 9 2" xfId="18188" xr:uid="{08142DDA-8596-4DA0-9B53-8052A5F92127}"/>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E230939B-4C3C-4C24-B11D-CE45631CA34F}"/>
    <cellStyle name="40% - Accent2 4 2 2 3" xfId="12235" xr:uid="{B793FE41-162E-41BB-9892-EDF5233DF170}"/>
    <cellStyle name="40% - Accent2 4 2 3" xfId="4981" xr:uid="{00000000-0005-0000-0000-0000DE040000}"/>
    <cellStyle name="40% - Accent2 4 2 3 2" xfId="14307" xr:uid="{4E557C60-8703-48C2-B359-6603B65BCF3D}"/>
    <cellStyle name="40% - Accent2 4 2 4" xfId="9375" xr:uid="{E0F8B4F7-419E-40A5-89E1-F3F0DF6ADFF8}"/>
    <cellStyle name="40% - Accent2 4 2 4 2" xfId="18690" xr:uid="{4C2DF9BF-BCFA-4C6B-95BA-889F23967A9E}"/>
    <cellStyle name="40% - Accent2 4 2 5" xfId="10090" xr:uid="{10664DD8-CEDB-4A4B-BDDD-1E7A1143CC4D}"/>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8287E18F-BCCD-4BD9-B280-E6C5E4911326}"/>
    <cellStyle name="40% - Accent2 4 3 2 3" xfId="12648" xr:uid="{43A41856-8ECC-441B-B4F3-750163C4946B}"/>
    <cellStyle name="40% - Accent2 4 3 3" xfId="5394" xr:uid="{00000000-0005-0000-0000-0000E2040000}"/>
    <cellStyle name="40% - Accent2 4 3 3 2" xfId="14720" xr:uid="{504DA536-245A-4D89-8F3A-D14EF7D235FD}"/>
    <cellStyle name="40% - Accent2 4 3 4" xfId="10503" xr:uid="{CCBE27CA-4606-47F6-89F9-A45242EE2C18}"/>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F3A4F122-32C1-4AE3-BCE8-7F92EAACB023}"/>
    <cellStyle name="40% - Accent2 4 4 2 3" xfId="13061" xr:uid="{8CB1932A-AE21-482E-B2F6-E916C46BF1FD}"/>
    <cellStyle name="40% - Accent2 4 4 3" xfId="5807" xr:uid="{00000000-0005-0000-0000-0000E6040000}"/>
    <cellStyle name="40% - Accent2 4 4 3 2" xfId="15133" xr:uid="{83D22B10-9724-43AB-8026-D15D93D77BD2}"/>
    <cellStyle name="40% - Accent2 4 4 4" xfId="10916" xr:uid="{42B04ED2-FAD3-4FC2-A54C-B020ED00C9A6}"/>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50892DAC-7A49-4906-8436-7B1E53B8837E}"/>
    <cellStyle name="40% - Accent2 4 5 2 3" xfId="13474" xr:uid="{D8125B03-D258-4FEA-B071-EC04C70FD611}"/>
    <cellStyle name="40% - Accent2 4 5 3" xfId="6220" xr:uid="{00000000-0005-0000-0000-0000EA040000}"/>
    <cellStyle name="40% - Accent2 4 5 3 2" xfId="15546" xr:uid="{E5F0407C-7ABF-4075-BC1C-2BBF0E62DE6F}"/>
    <cellStyle name="40% - Accent2 4 5 4" xfId="11329" xr:uid="{702E9CB3-2169-4A52-A002-9ED9EC892F8C}"/>
    <cellStyle name="40% - Accent2 4 6" xfId="2327" xr:uid="{00000000-0005-0000-0000-0000EB040000}"/>
    <cellStyle name="40% - Accent2 4 6 2" xfId="6633" xr:uid="{00000000-0005-0000-0000-0000EC040000}"/>
    <cellStyle name="40% - Accent2 4 6 2 2" xfId="15959" xr:uid="{F59C2BCA-C25D-4784-9A7D-A1DFD875BD76}"/>
    <cellStyle name="40% - Accent2 4 6 3" xfId="11742" xr:uid="{53E86DE4-89F6-4A83-B66F-A93C4F9F2336}"/>
    <cellStyle name="40% - Accent2 4 7" xfId="4567" xr:uid="{00000000-0005-0000-0000-0000ED040000}"/>
    <cellStyle name="40% - Accent2 4 7 2" xfId="13893" xr:uid="{C24BF2D9-C54E-47F6-A3D6-69096701C451}"/>
    <cellStyle name="40% - Accent2 4 8" xfId="8950" xr:uid="{02FCA414-0598-4779-8636-7B176A3552C0}"/>
    <cellStyle name="40% - Accent2 4 8 2" xfId="18274" xr:uid="{898DF3D5-EF80-46D6-9E23-0965D1693362}"/>
    <cellStyle name="40% - Accent2 4 9" xfId="9676" xr:uid="{2FDD427C-F4E8-4F56-92F1-ED5934934D8A}"/>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98800D89-49B7-4161-97CA-2161F0806A65}"/>
    <cellStyle name="40% - Accent2 5 2 3" xfId="12228" xr:uid="{64E14A07-92BD-4378-908B-6B0A6EA26680}"/>
    <cellStyle name="40% - Accent2 5 3" xfId="4974" xr:uid="{00000000-0005-0000-0000-0000F1040000}"/>
    <cellStyle name="40% - Accent2 5 3 2" xfId="14300" xr:uid="{6B19C94B-E378-4B08-898E-A66131EDDC65}"/>
    <cellStyle name="40% - Accent2 5 4" xfId="9183" xr:uid="{071EDB8E-9FD1-4063-BCEF-70B734E5ECF1}"/>
    <cellStyle name="40% - Accent2 5 4 2" xfId="18501" xr:uid="{193A09FA-9634-48CE-85FB-835FDEA0F5BC}"/>
    <cellStyle name="40% - Accent2 5 5" xfId="10083" xr:uid="{2330B8DB-369D-402B-93E6-289BDEBCFF92}"/>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1BEA59BC-12E5-4702-8917-87275A33DBBC}"/>
    <cellStyle name="40% - Accent2 6 2 3" xfId="12641" xr:uid="{1C0A5781-CB3A-4A07-B3D1-0A0F08CEA6FA}"/>
    <cellStyle name="40% - Accent2 6 3" xfId="5387" xr:uid="{00000000-0005-0000-0000-0000F5040000}"/>
    <cellStyle name="40% - Accent2 6 3 2" xfId="14713" xr:uid="{676DA615-8940-44DE-8911-DB327C9250AA}"/>
    <cellStyle name="40% - Accent2 6 4" xfId="10496" xr:uid="{1BC7777E-709B-44C2-B41F-B7744CEA386E}"/>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7C139303-CD83-4B54-9184-98552605E066}"/>
    <cellStyle name="40% - Accent2 7 2 3" xfId="13054" xr:uid="{8D356B6F-5B8D-41B9-B990-19CF24884ECB}"/>
    <cellStyle name="40% - Accent2 7 3" xfId="5800" xr:uid="{00000000-0005-0000-0000-0000F9040000}"/>
    <cellStyle name="40% - Accent2 7 3 2" xfId="15126" xr:uid="{6B79A883-A9F8-4649-BE0C-71A2A4798F46}"/>
    <cellStyle name="40% - Accent2 7 4" xfId="10909" xr:uid="{5740D6FF-7B0B-4FE1-8ECC-70D2A92F8D09}"/>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0DA90AEC-C90D-4806-8BCE-D0F8345D4769}"/>
    <cellStyle name="40% - Accent2 8 2 3" xfId="13467" xr:uid="{D4B904B1-F594-4BBD-A9D4-5258950E9619}"/>
    <cellStyle name="40% - Accent2 8 3" xfId="6213" xr:uid="{00000000-0005-0000-0000-0000FD040000}"/>
    <cellStyle name="40% - Accent2 8 3 2" xfId="15539" xr:uid="{9ED9B485-1438-4552-84D7-91FC574A194B}"/>
    <cellStyle name="40% - Accent2 8 4" xfId="11322" xr:uid="{D3E2AB85-2843-4F1E-8E81-B26D39D44449}"/>
    <cellStyle name="40% - Accent2 9" xfId="2320" xr:uid="{00000000-0005-0000-0000-0000FE040000}"/>
    <cellStyle name="40% - Accent2 9 2" xfId="6626" xr:uid="{00000000-0005-0000-0000-0000FF040000}"/>
    <cellStyle name="40% - Accent2 9 2 2" xfId="15952" xr:uid="{6C9B25FB-EA71-46E2-A0BB-F856D4D7065B}"/>
    <cellStyle name="40% - Accent2 9 3" xfId="11735" xr:uid="{5EE2BD64-F485-4E92-BF9E-83A88C635EF2}"/>
    <cellStyle name="40% - Accent3" xfId="65" builtinId="39" customBuiltin="1"/>
    <cellStyle name="40% - Accent3 10" xfId="4568" xr:uid="{00000000-0005-0000-0000-000001050000}"/>
    <cellStyle name="40% - Accent3 10 2" xfId="13894" xr:uid="{3C845973-DFD0-4315-8C33-E27041BB6DB6}"/>
    <cellStyle name="40% - Accent3 11" xfId="8763" xr:uid="{CEFBFA85-5B68-4AEB-BF0D-8E604938B05F}"/>
    <cellStyle name="40% - Accent3 11 2" xfId="18087" xr:uid="{EB9B2DDA-C4D4-4B23-85F6-17F15ECFB18C}"/>
    <cellStyle name="40% - Accent3 12" xfId="9677" xr:uid="{F60109B8-35B2-4ACE-863B-36BD9F126C80}"/>
    <cellStyle name="40% - Accent3 2" xfId="66" xr:uid="{00000000-0005-0000-0000-000002050000}"/>
    <cellStyle name="40% - Accent3 2 10" xfId="8800" xr:uid="{00FF2AAD-7D96-45B5-8981-0BB923A3505B}"/>
    <cellStyle name="40% - Accent3 2 10 2" xfId="18124" xr:uid="{D588DBA6-6BF8-4557-89C1-204D6B7C87A3}"/>
    <cellStyle name="40% - Accent3 2 11" xfId="9678" xr:uid="{A312CE85-2B33-4BEE-8501-81C474D17020}"/>
    <cellStyle name="40% - Accent3 2 2" xfId="67" xr:uid="{00000000-0005-0000-0000-000003050000}"/>
    <cellStyle name="40% - Accent3 2 2 10" xfId="9679" xr:uid="{1B98BE37-195E-4D95-9C94-C2D99C5061C3}"/>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B5EBEB9D-E699-4015-811D-26B1EC97717C}"/>
    <cellStyle name="40% - Accent3 2 2 2 2 2 3" xfId="12239" xr:uid="{7B52FDD3-A32B-4D2A-A5F4-CF9E6A5FB936}"/>
    <cellStyle name="40% - Accent3 2 2 2 2 3" xfId="4985" xr:uid="{00000000-0005-0000-0000-000008050000}"/>
    <cellStyle name="40% - Accent3 2 2 2 2 3 2" xfId="14311" xr:uid="{B5E87053-9AB8-4D55-9047-51A01917C0C3}"/>
    <cellStyle name="40% - Accent3 2 2 2 2 4" xfId="9535" xr:uid="{3AC66435-D4C7-42EF-A799-3DC81A57BDF4}"/>
    <cellStyle name="40% - Accent3 2 2 2 2 4 2" xfId="18850" xr:uid="{E7ED04A8-34DD-4530-930F-B3F94560EEF7}"/>
    <cellStyle name="40% - Accent3 2 2 2 2 5" xfId="10094" xr:uid="{DD934FC1-0383-4427-81B2-8883638365F2}"/>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483F2995-DA10-4367-B5BD-564382022B5D}"/>
    <cellStyle name="40% - Accent3 2 2 2 3 2 3" xfId="12652" xr:uid="{2B755A19-0F07-4324-96D5-56A601502863}"/>
    <cellStyle name="40% - Accent3 2 2 2 3 3" xfId="5398" xr:uid="{00000000-0005-0000-0000-00000C050000}"/>
    <cellStyle name="40% - Accent3 2 2 2 3 3 2" xfId="14724" xr:uid="{C3BC490A-EAA4-4D76-A70F-1636938226FD}"/>
    <cellStyle name="40% - Accent3 2 2 2 3 4" xfId="10507" xr:uid="{9BBA2C4A-3D5F-4E71-8EE7-39DD96FDE4D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5AADCED2-7E39-4CC3-86FB-68A0F33C252E}"/>
    <cellStyle name="40% - Accent3 2 2 2 4 2 3" xfId="13065" xr:uid="{EB6F6A86-7BCE-4C48-B4DC-7E60B7385885}"/>
    <cellStyle name="40% - Accent3 2 2 2 4 3" xfId="5811" xr:uid="{00000000-0005-0000-0000-000010050000}"/>
    <cellStyle name="40% - Accent3 2 2 2 4 3 2" xfId="15137" xr:uid="{015EBFFC-DF3E-47FE-A9E4-2B91C0F2F19A}"/>
    <cellStyle name="40% - Accent3 2 2 2 4 4" xfId="10920" xr:uid="{A97815C7-498D-4C27-9475-7481BBDFB93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04B3AB0A-DFAE-4ACD-8FF2-53B9C687D225}"/>
    <cellStyle name="40% - Accent3 2 2 2 5 2 3" xfId="13478" xr:uid="{54CAD7DF-3188-4AB5-8C6C-0F8568D7A61D}"/>
    <cellStyle name="40% - Accent3 2 2 2 5 3" xfId="6224" xr:uid="{00000000-0005-0000-0000-000014050000}"/>
    <cellStyle name="40% - Accent3 2 2 2 5 3 2" xfId="15550" xr:uid="{E1E19013-01FB-4E56-8E6D-D27CC033AAC5}"/>
    <cellStyle name="40% - Accent3 2 2 2 5 4" xfId="11333" xr:uid="{87BD1A7D-5B1A-47EE-8DD7-03E71659BB02}"/>
    <cellStyle name="40% - Accent3 2 2 2 6" xfId="2331" xr:uid="{00000000-0005-0000-0000-000015050000}"/>
    <cellStyle name="40% - Accent3 2 2 2 6 2" xfId="6637" xr:uid="{00000000-0005-0000-0000-000016050000}"/>
    <cellStyle name="40% - Accent3 2 2 2 6 2 2" xfId="15963" xr:uid="{A97A0B6A-D532-47C2-B33A-BF8CE245CCC2}"/>
    <cellStyle name="40% - Accent3 2 2 2 6 3" xfId="11746" xr:uid="{3B042EDC-5E2A-495B-8177-9AFFCB4813F1}"/>
    <cellStyle name="40% - Accent3 2 2 2 7" xfId="4571" xr:uid="{00000000-0005-0000-0000-000017050000}"/>
    <cellStyle name="40% - Accent3 2 2 2 7 2" xfId="13897" xr:uid="{720F1D19-3544-4AEA-87EC-16DA247BBA6A}"/>
    <cellStyle name="40% - Accent3 2 2 2 8" xfId="9110" xr:uid="{E41CBEF9-86F8-44B9-895F-532A7BDC9A2A}"/>
    <cellStyle name="40% - Accent3 2 2 2 8 2" xfId="18434" xr:uid="{9FA87F46-84A3-4CA7-BA29-564BE5A6FDDC}"/>
    <cellStyle name="40% - Accent3 2 2 2 9" xfId="9680" xr:uid="{BE18B2CF-65AD-4612-895F-27B8FAEE5871}"/>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277F04B5-3376-46D2-A18C-6B337F7AE0F5}"/>
    <cellStyle name="40% - Accent3 2 2 3 2 3" xfId="12238" xr:uid="{FF9883C4-43BE-4731-8FDE-172F7D719770}"/>
    <cellStyle name="40% - Accent3 2 2 3 3" xfId="4984" xr:uid="{00000000-0005-0000-0000-00001B050000}"/>
    <cellStyle name="40% - Accent3 2 2 3 3 2" xfId="14310" xr:uid="{9193CF37-7DA8-4A38-9369-0A76AC3D322A}"/>
    <cellStyle name="40% - Accent3 2 2 3 4" xfId="9328" xr:uid="{1DAEB9B9-01CE-426D-A8F1-CE08999D7264}"/>
    <cellStyle name="40% - Accent3 2 2 3 4 2" xfId="18643" xr:uid="{4777A78A-C7C0-40C5-BECF-54826986EAF5}"/>
    <cellStyle name="40% - Accent3 2 2 3 5" xfId="10093" xr:uid="{9FA74D6A-FDE6-44BB-9F44-1653C0526E28}"/>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D8CBDA31-C708-47D0-AA2D-56A09C262827}"/>
    <cellStyle name="40% - Accent3 2 2 4 2 3" xfId="12651" xr:uid="{E83C04E4-1FB5-4C12-B14F-AC3EFBE789EC}"/>
    <cellStyle name="40% - Accent3 2 2 4 3" xfId="5397" xr:uid="{00000000-0005-0000-0000-00001F050000}"/>
    <cellStyle name="40% - Accent3 2 2 4 3 2" xfId="14723" xr:uid="{8ACA1FB6-13B7-4AD0-BB66-A78C5FD4D96B}"/>
    <cellStyle name="40% - Accent3 2 2 4 4" xfId="10506" xr:uid="{33C5231F-0DFC-4A29-97C5-18E8FFBBDC0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5A127E16-B366-45C1-86DE-B682DAA36953}"/>
    <cellStyle name="40% - Accent3 2 2 5 2 3" xfId="13064" xr:uid="{957CCBAF-28D4-40E3-9AD9-453C0DE1C85E}"/>
    <cellStyle name="40% - Accent3 2 2 5 3" xfId="5810" xr:uid="{00000000-0005-0000-0000-000023050000}"/>
    <cellStyle name="40% - Accent3 2 2 5 3 2" xfId="15136" xr:uid="{908A9CD2-F671-46E8-9B82-5D0E883B6EE8}"/>
    <cellStyle name="40% - Accent3 2 2 5 4" xfId="10919" xr:uid="{7CF8CBEC-EDA1-4DC4-A67D-6E10B2192527}"/>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3544A670-1F5B-4473-BAFA-98DCAF37705D}"/>
    <cellStyle name="40% - Accent3 2 2 6 2 3" xfId="13477" xr:uid="{72DB66D6-2D8A-4B6D-B0FB-0B8DD833F2ED}"/>
    <cellStyle name="40% - Accent3 2 2 6 3" xfId="6223" xr:uid="{00000000-0005-0000-0000-000027050000}"/>
    <cellStyle name="40% - Accent3 2 2 6 3 2" xfId="15549" xr:uid="{228DDD7A-7282-49EB-90AC-DE842BB9E4BC}"/>
    <cellStyle name="40% - Accent3 2 2 6 4" xfId="11332" xr:uid="{924FE171-E9B4-410B-B9F6-ACD230B5384F}"/>
    <cellStyle name="40% - Accent3 2 2 7" xfId="2330" xr:uid="{00000000-0005-0000-0000-000028050000}"/>
    <cellStyle name="40% - Accent3 2 2 7 2" xfId="6636" xr:uid="{00000000-0005-0000-0000-000029050000}"/>
    <cellStyle name="40% - Accent3 2 2 7 2 2" xfId="15962" xr:uid="{370A61AB-8257-4996-BDB0-3E78D46FC2D3}"/>
    <cellStyle name="40% - Accent3 2 2 7 3" xfId="11745" xr:uid="{40C5E658-A246-4506-9E2F-B996EF918572}"/>
    <cellStyle name="40% - Accent3 2 2 8" xfId="4570" xr:uid="{00000000-0005-0000-0000-00002A050000}"/>
    <cellStyle name="40% - Accent3 2 2 8 2" xfId="13896" xr:uid="{8F19DDC6-4290-4D03-8B03-9E15F02BF1EE}"/>
    <cellStyle name="40% - Accent3 2 2 9" xfId="8903" xr:uid="{D9C85917-26AE-466C-8B98-905BCDA9E329}"/>
    <cellStyle name="40% - Accent3 2 2 9 2" xfId="18227" xr:uid="{8FB102B6-56CC-4F62-9ABF-6CC3107D06F7}"/>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C102AFB1-8BEC-48E3-A88F-2673419A0FE8}"/>
    <cellStyle name="40% - Accent3 2 3 2 2 3" xfId="12240" xr:uid="{A4B5639F-2CFE-4075-B866-943E84AE8B67}"/>
    <cellStyle name="40% - Accent3 2 3 2 3" xfId="4986" xr:uid="{00000000-0005-0000-0000-00002F050000}"/>
    <cellStyle name="40% - Accent3 2 3 2 3 2" xfId="14312" xr:uid="{B6A39041-458A-4C9B-82D1-7EDFDA396DAF}"/>
    <cellStyle name="40% - Accent3 2 3 2 4" xfId="9432" xr:uid="{54D6848B-0200-4F42-820D-262A8F9A2C0F}"/>
    <cellStyle name="40% - Accent3 2 3 2 4 2" xfId="18747" xr:uid="{8ED83D53-568F-4F74-AAC2-8C201CA1D5D6}"/>
    <cellStyle name="40% - Accent3 2 3 2 5" xfId="10095" xr:uid="{B4B8E52D-06EF-412A-BBF2-B9FB27DDBDC2}"/>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D878A808-4032-496B-94DC-ED065D4BD567}"/>
    <cellStyle name="40% - Accent3 2 3 3 2 3" xfId="12653" xr:uid="{225BA62E-CD82-42C8-80A7-2B0AA80804BF}"/>
    <cellStyle name="40% - Accent3 2 3 3 3" xfId="5399" xr:uid="{00000000-0005-0000-0000-000033050000}"/>
    <cellStyle name="40% - Accent3 2 3 3 3 2" xfId="14725" xr:uid="{8FE598CD-C807-48CE-93C0-2A4EB328413B}"/>
    <cellStyle name="40% - Accent3 2 3 3 4" xfId="10508" xr:uid="{D2511F16-075C-49FE-98A6-03A4C007D3C3}"/>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DE89ED3B-758C-4AA5-AB90-E843EB67EB4D}"/>
    <cellStyle name="40% - Accent3 2 3 4 2 3" xfId="13066" xr:uid="{EB3CB6B3-6365-4D8B-AE8B-E9714BDD95F4}"/>
    <cellStyle name="40% - Accent3 2 3 4 3" xfId="5812" xr:uid="{00000000-0005-0000-0000-000037050000}"/>
    <cellStyle name="40% - Accent3 2 3 4 3 2" xfId="15138" xr:uid="{AD729F31-ACD6-4136-84B0-1C1B7C90F503}"/>
    <cellStyle name="40% - Accent3 2 3 4 4" xfId="10921" xr:uid="{E2DE3BD7-4996-426B-8821-48FE3DBA85A0}"/>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23EEEC5A-1D52-4686-961B-D90F43AAE1BA}"/>
    <cellStyle name="40% - Accent3 2 3 5 2 3" xfId="13479" xr:uid="{1CC9DB40-1DF7-4DA1-9F73-21291BCB8D2D}"/>
    <cellStyle name="40% - Accent3 2 3 5 3" xfId="6225" xr:uid="{00000000-0005-0000-0000-00003B050000}"/>
    <cellStyle name="40% - Accent3 2 3 5 3 2" xfId="15551" xr:uid="{B86BF291-F6BF-4DD8-8514-174599847046}"/>
    <cellStyle name="40% - Accent3 2 3 5 4" xfId="11334" xr:uid="{12F7741A-B422-47EA-A7DA-BC0DCF8DA00D}"/>
    <cellStyle name="40% - Accent3 2 3 6" xfId="2332" xr:uid="{00000000-0005-0000-0000-00003C050000}"/>
    <cellStyle name="40% - Accent3 2 3 6 2" xfId="6638" xr:uid="{00000000-0005-0000-0000-00003D050000}"/>
    <cellStyle name="40% - Accent3 2 3 6 2 2" xfId="15964" xr:uid="{AB0DB3BE-10CB-4956-AA61-2EC9C6832FE0}"/>
    <cellStyle name="40% - Accent3 2 3 6 3" xfId="11747" xr:uid="{8343ED28-892F-48EE-AD66-36130F5765E7}"/>
    <cellStyle name="40% - Accent3 2 3 7" xfId="4572" xr:uid="{00000000-0005-0000-0000-00003E050000}"/>
    <cellStyle name="40% - Accent3 2 3 7 2" xfId="13898" xr:uid="{5F299E68-A1B1-46F9-9E9D-302C0FE2C90C}"/>
    <cellStyle name="40% - Accent3 2 3 8" xfId="9007" xr:uid="{2DEFD82C-2A62-4C1E-AA8D-7F2606BD9091}"/>
    <cellStyle name="40% - Accent3 2 3 8 2" xfId="18331" xr:uid="{0BB3F9EA-47FA-4957-8507-CD203687FE9B}"/>
    <cellStyle name="40% - Accent3 2 3 9" xfId="9681" xr:uid="{F0F703C4-01A1-4865-B091-7C6287A3D956}"/>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18B6480D-82F1-449F-9D05-6FE1B69B480E}"/>
    <cellStyle name="40% - Accent3 2 4 2 3" xfId="12237" xr:uid="{CE8F1BB1-571C-49DD-AB03-4DC774242F71}"/>
    <cellStyle name="40% - Accent3 2 4 3" xfId="4983" xr:uid="{00000000-0005-0000-0000-000042050000}"/>
    <cellStyle name="40% - Accent3 2 4 3 2" xfId="14309" xr:uid="{67860E81-9192-4EF5-8292-0236080CD150}"/>
    <cellStyle name="40% - Accent3 2 4 4" xfId="9224" xr:uid="{6B91012A-BFF2-4F1F-901C-A91F06F80031}"/>
    <cellStyle name="40% - Accent3 2 4 4 2" xfId="18540" xr:uid="{B964042A-377A-482C-B14E-65008A1BFDC3}"/>
    <cellStyle name="40% - Accent3 2 4 5" xfId="10092" xr:uid="{85232720-0A79-4016-B067-0027CA88F69D}"/>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3BC345F0-5D18-4DC7-9C43-76A0F835585D}"/>
    <cellStyle name="40% - Accent3 2 5 2 3" xfId="12650" xr:uid="{435C3CE7-FEF5-49B9-8458-FA57CB2C4879}"/>
    <cellStyle name="40% - Accent3 2 5 3" xfId="5396" xr:uid="{00000000-0005-0000-0000-000046050000}"/>
    <cellStyle name="40% - Accent3 2 5 3 2" xfId="14722" xr:uid="{2605AA46-2EC9-4A5E-A590-3B9EC19CF2A4}"/>
    <cellStyle name="40% - Accent3 2 5 4" xfId="10505" xr:uid="{0F9AAA4C-9B68-4701-9BE6-847E05083A73}"/>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97FE6217-A1AA-4E67-BC3E-A0DC0ED1C89A}"/>
    <cellStyle name="40% - Accent3 2 6 2 3" xfId="13063" xr:uid="{5288763E-BD2B-424E-9632-465A6BF10325}"/>
    <cellStyle name="40% - Accent3 2 6 3" xfId="5809" xr:uid="{00000000-0005-0000-0000-00004A050000}"/>
    <cellStyle name="40% - Accent3 2 6 3 2" xfId="15135" xr:uid="{46851FBD-0FB8-483B-82BF-68C5F19BCC58}"/>
    <cellStyle name="40% - Accent3 2 6 4" xfId="10918" xr:uid="{D19CE707-8FEF-47CB-AFB5-2BE25D07C692}"/>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308A7FF6-55E5-40A8-8D59-464FBB2137D5}"/>
    <cellStyle name="40% - Accent3 2 7 2 3" xfId="13476" xr:uid="{AF8C8D21-B838-4A13-8327-4B3D08BCA268}"/>
    <cellStyle name="40% - Accent3 2 7 3" xfId="6222" xr:uid="{00000000-0005-0000-0000-00004E050000}"/>
    <cellStyle name="40% - Accent3 2 7 3 2" xfId="15548" xr:uid="{2C342131-2EEA-42C4-892B-A811C830676A}"/>
    <cellStyle name="40% - Accent3 2 7 4" xfId="11331" xr:uid="{04ED098D-E18A-4C59-BE25-38FA20EAFEB8}"/>
    <cellStyle name="40% - Accent3 2 8" xfId="2329" xr:uid="{00000000-0005-0000-0000-00004F050000}"/>
    <cellStyle name="40% - Accent3 2 8 2" xfId="6635" xr:uid="{00000000-0005-0000-0000-000050050000}"/>
    <cellStyle name="40% - Accent3 2 8 2 2" xfId="15961" xr:uid="{057B2E2F-817B-4965-AEEE-1EEFBDFD4A68}"/>
    <cellStyle name="40% - Accent3 2 8 3" xfId="11744" xr:uid="{FEA8CF6D-5FC6-4D39-A55B-F280E64AF010}"/>
    <cellStyle name="40% - Accent3 2 9" xfId="4569" xr:uid="{00000000-0005-0000-0000-000051050000}"/>
    <cellStyle name="40% - Accent3 2 9 2" xfId="13895" xr:uid="{A4E60207-0B49-4B4B-BC87-A0D9D880D61D}"/>
    <cellStyle name="40% - Accent3 3" xfId="70" xr:uid="{00000000-0005-0000-0000-000052050000}"/>
    <cellStyle name="40% - Accent3 3 10" xfId="9682" xr:uid="{BB3C5BDE-C7E5-47A1-A60F-D40420FA6631}"/>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23D12393-EBAF-49BE-A3F0-28B9DE6D7DDD}"/>
    <cellStyle name="40% - Accent3 3 2 2 2 3" xfId="12242" xr:uid="{5C089A95-A0B6-4267-99D2-C997C5B603EF}"/>
    <cellStyle name="40% - Accent3 3 2 2 3" xfId="4988" xr:uid="{00000000-0005-0000-0000-000057050000}"/>
    <cellStyle name="40% - Accent3 3 2 2 3 2" xfId="14314" xr:uid="{83A4E891-8078-4158-AE26-2964FA7A4519}"/>
    <cellStyle name="40% - Accent3 3 2 2 4" xfId="9498" xr:uid="{7C43CF58-5AE0-4BAA-9D2B-CAB92F3612F1}"/>
    <cellStyle name="40% - Accent3 3 2 2 4 2" xfId="18813" xr:uid="{AC32FCAB-9768-425B-9D99-65671F1F2C4F}"/>
    <cellStyle name="40% - Accent3 3 2 2 5" xfId="10097" xr:uid="{11EE6E7B-1792-4565-B00F-5CE0EDE74135}"/>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A5799731-24E8-4391-8787-A34333EB144E}"/>
    <cellStyle name="40% - Accent3 3 2 3 2 3" xfId="12655" xr:uid="{D6BE8731-0BD6-4C0F-8415-F1B9C97C5248}"/>
    <cellStyle name="40% - Accent3 3 2 3 3" xfId="5401" xr:uid="{00000000-0005-0000-0000-00005B050000}"/>
    <cellStyle name="40% - Accent3 3 2 3 3 2" xfId="14727" xr:uid="{55D2E409-4376-4651-ADA2-4BC026842101}"/>
    <cellStyle name="40% - Accent3 3 2 3 4" xfId="10510" xr:uid="{CDB9DF40-90A7-4FAE-B564-935A003EB786}"/>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5B97AF02-3C93-46EB-BC66-F377A9F82B9A}"/>
    <cellStyle name="40% - Accent3 3 2 4 2 3" xfId="13068" xr:uid="{3E9C98B4-599C-4488-86C9-1AADBE596E01}"/>
    <cellStyle name="40% - Accent3 3 2 4 3" xfId="5814" xr:uid="{00000000-0005-0000-0000-00005F050000}"/>
    <cellStyle name="40% - Accent3 3 2 4 3 2" xfId="15140" xr:uid="{56D1D9D6-DB4D-4D2B-AC70-433062CAC094}"/>
    <cellStyle name="40% - Accent3 3 2 4 4" xfId="10923" xr:uid="{D583F4FA-A977-4EEE-9DCD-481D5DF5ADE4}"/>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6D5173D1-685D-489D-92A7-98CEE217B2B9}"/>
    <cellStyle name="40% - Accent3 3 2 5 2 3" xfId="13481" xr:uid="{7ACD0CCB-C9AF-4D56-B469-E5B432CD538B}"/>
    <cellStyle name="40% - Accent3 3 2 5 3" xfId="6227" xr:uid="{00000000-0005-0000-0000-000063050000}"/>
    <cellStyle name="40% - Accent3 3 2 5 3 2" xfId="15553" xr:uid="{9A69964E-DEE9-46BD-AF00-4A58C8776631}"/>
    <cellStyle name="40% - Accent3 3 2 5 4" xfId="11336" xr:uid="{F5117D9C-1DAA-4E96-BC49-B6B8DB8D4C61}"/>
    <cellStyle name="40% - Accent3 3 2 6" xfId="2334" xr:uid="{00000000-0005-0000-0000-000064050000}"/>
    <cellStyle name="40% - Accent3 3 2 6 2" xfId="6640" xr:uid="{00000000-0005-0000-0000-000065050000}"/>
    <cellStyle name="40% - Accent3 3 2 6 2 2" xfId="15966" xr:uid="{7C0F8A71-F386-4AC0-8B4A-728E879AA8EC}"/>
    <cellStyle name="40% - Accent3 3 2 6 3" xfId="11749" xr:uid="{51B00AB0-1263-4467-89F6-02EE1197AD6E}"/>
    <cellStyle name="40% - Accent3 3 2 7" xfId="4574" xr:uid="{00000000-0005-0000-0000-000066050000}"/>
    <cellStyle name="40% - Accent3 3 2 7 2" xfId="13900" xr:uid="{0CBA0865-0FFA-4206-B445-F86CE02024A0}"/>
    <cellStyle name="40% - Accent3 3 2 8" xfId="9073" xr:uid="{0E71C752-2CF0-411D-A05E-4DA4A73CFC34}"/>
    <cellStyle name="40% - Accent3 3 2 8 2" xfId="18397" xr:uid="{B7471638-B277-4FD3-8BF9-01BC3104DC20}"/>
    <cellStyle name="40% - Accent3 3 2 9" xfId="9683" xr:uid="{41F6BC1F-F76D-47C7-9F07-DB9031B485E5}"/>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B76FB48D-2680-407C-92A6-0FE3C8054163}"/>
    <cellStyle name="40% - Accent3 3 3 2 3" xfId="12241" xr:uid="{B517ABD1-EA08-47BC-955E-4A907919DBCD}"/>
    <cellStyle name="40% - Accent3 3 3 3" xfId="4987" xr:uid="{00000000-0005-0000-0000-00006A050000}"/>
    <cellStyle name="40% - Accent3 3 3 3 2" xfId="14313" xr:uid="{4D25BC70-3351-4C71-A5F2-F20826A58782}"/>
    <cellStyle name="40% - Accent3 3 3 4" xfId="9291" xr:uid="{59AB3F6D-A8C6-4A37-A8E3-967850079A77}"/>
    <cellStyle name="40% - Accent3 3 3 4 2" xfId="18606" xr:uid="{14AA7DCF-814B-4DF3-B7AB-41B763769DEE}"/>
    <cellStyle name="40% - Accent3 3 3 5" xfId="10096" xr:uid="{3D398702-9A0E-4BC5-B057-E5D1F255AE1C}"/>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53012861-E68D-4E17-A535-ACC2F74F967B}"/>
    <cellStyle name="40% - Accent3 3 4 2 3" xfId="12654" xr:uid="{EBE942F8-7638-49E5-945F-E662E8053361}"/>
    <cellStyle name="40% - Accent3 3 4 3" xfId="5400" xr:uid="{00000000-0005-0000-0000-00006E050000}"/>
    <cellStyle name="40% - Accent3 3 4 3 2" xfId="14726" xr:uid="{3CDCD061-9474-42E4-8AFC-497151E23EF9}"/>
    <cellStyle name="40% - Accent3 3 4 4" xfId="10509" xr:uid="{A6AA589D-68FF-47C5-9DDE-20BC719C7955}"/>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D55CABA5-9128-4E87-9500-0639DA3A609F}"/>
    <cellStyle name="40% - Accent3 3 5 2 3" xfId="13067" xr:uid="{6B3380A1-569E-4694-940B-96494DFE9756}"/>
    <cellStyle name="40% - Accent3 3 5 3" xfId="5813" xr:uid="{00000000-0005-0000-0000-000072050000}"/>
    <cellStyle name="40% - Accent3 3 5 3 2" xfId="15139" xr:uid="{C2744813-E4AA-46C7-9C89-2C6E85067F18}"/>
    <cellStyle name="40% - Accent3 3 5 4" xfId="10922" xr:uid="{901782F0-4F51-418C-8ED7-FE5A7A3083FF}"/>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C3DA7C9A-6A7F-4EF9-8E14-55EBCD59C8BC}"/>
    <cellStyle name="40% - Accent3 3 6 2 3" xfId="13480" xr:uid="{99CCE1D1-1B94-4656-B702-B37A3475BEC7}"/>
    <cellStyle name="40% - Accent3 3 6 3" xfId="6226" xr:uid="{00000000-0005-0000-0000-000076050000}"/>
    <cellStyle name="40% - Accent3 3 6 3 2" xfId="15552" xr:uid="{C56F47F5-14C5-4B0E-B7F4-1EF0EB7F8922}"/>
    <cellStyle name="40% - Accent3 3 6 4" xfId="11335" xr:uid="{0F4ADCE9-2FDE-43A6-9875-C450C04FAF0F}"/>
    <cellStyle name="40% - Accent3 3 7" xfId="2333" xr:uid="{00000000-0005-0000-0000-000077050000}"/>
    <cellStyle name="40% - Accent3 3 7 2" xfId="6639" xr:uid="{00000000-0005-0000-0000-000078050000}"/>
    <cellStyle name="40% - Accent3 3 7 2 2" xfId="15965" xr:uid="{3BB29320-CAC6-4C16-AE19-C496F6EBDC89}"/>
    <cellStyle name="40% - Accent3 3 7 3" xfId="11748" xr:uid="{CC57C703-3F9D-42CC-89EF-68D6BFB97975}"/>
    <cellStyle name="40% - Accent3 3 8" xfId="4573" xr:uid="{00000000-0005-0000-0000-000079050000}"/>
    <cellStyle name="40% - Accent3 3 8 2" xfId="13899" xr:uid="{18612428-18C0-4CA3-A84B-C10B47C6DDC2}"/>
    <cellStyle name="40% - Accent3 3 9" xfId="8866" xr:uid="{1A1EF43E-4A2B-42A8-98A3-CEC34DD3B00D}"/>
    <cellStyle name="40% - Accent3 3 9 2" xfId="18190" xr:uid="{91CE4A8C-B769-4383-8F30-E98BCF70E663}"/>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FA4E5BFB-CFF5-4A95-A92B-3B2CA54FD411}"/>
    <cellStyle name="40% - Accent3 4 2 2 3" xfId="12243" xr:uid="{2D0F7202-D615-4DEB-A218-64E79A5D7E1F}"/>
    <cellStyle name="40% - Accent3 4 2 3" xfId="4989" xr:uid="{00000000-0005-0000-0000-00007E050000}"/>
    <cellStyle name="40% - Accent3 4 2 3 2" xfId="14315" xr:uid="{5A8F3BA9-CF97-4AF7-AE65-99231D01381D}"/>
    <cellStyle name="40% - Accent3 4 2 4" xfId="9377" xr:uid="{F4393833-4E73-4685-9332-CF918D5239A9}"/>
    <cellStyle name="40% - Accent3 4 2 4 2" xfId="18692" xr:uid="{BBEAB63D-6EEF-43AE-950F-6A0573894B2C}"/>
    <cellStyle name="40% - Accent3 4 2 5" xfId="10098" xr:uid="{FAAAF535-01C1-4890-B66C-3DF480902C90}"/>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58B7DD81-D96D-4348-B85D-96B0F5790CB7}"/>
    <cellStyle name="40% - Accent3 4 3 2 3" xfId="12656" xr:uid="{93B1DD01-7291-4562-AAF2-5F741BD2C391}"/>
    <cellStyle name="40% - Accent3 4 3 3" xfId="5402" xr:uid="{00000000-0005-0000-0000-000082050000}"/>
    <cellStyle name="40% - Accent3 4 3 3 2" xfId="14728" xr:uid="{87292F38-484F-42A6-8675-E49D414C1984}"/>
    <cellStyle name="40% - Accent3 4 3 4" xfId="10511" xr:uid="{F1593D05-A6B4-4767-8BF1-7D52F38C8481}"/>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73CB5B26-8571-4160-B965-A7630745A642}"/>
    <cellStyle name="40% - Accent3 4 4 2 3" xfId="13069" xr:uid="{D501A5B0-EDC0-489F-B6E0-8C96ED9C77EC}"/>
    <cellStyle name="40% - Accent3 4 4 3" xfId="5815" xr:uid="{00000000-0005-0000-0000-000086050000}"/>
    <cellStyle name="40% - Accent3 4 4 3 2" xfId="15141" xr:uid="{C336A577-B74B-4496-BEAE-3256226C417E}"/>
    <cellStyle name="40% - Accent3 4 4 4" xfId="10924" xr:uid="{DF73D752-EC17-4F62-9EE3-2BA5E97BFE5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1B46D95D-4548-4A41-84EF-DEFFC2FAE3A0}"/>
    <cellStyle name="40% - Accent3 4 5 2 3" xfId="13482" xr:uid="{114C5E5E-0B77-48CE-B212-2AED85ADFC20}"/>
    <cellStyle name="40% - Accent3 4 5 3" xfId="6228" xr:uid="{00000000-0005-0000-0000-00008A050000}"/>
    <cellStyle name="40% - Accent3 4 5 3 2" xfId="15554" xr:uid="{4D375F17-4046-45A8-8F5C-0EF4E71B3570}"/>
    <cellStyle name="40% - Accent3 4 5 4" xfId="11337" xr:uid="{8C4477C2-E52F-4255-8E2D-50A238AC7AC5}"/>
    <cellStyle name="40% - Accent3 4 6" xfId="2335" xr:uid="{00000000-0005-0000-0000-00008B050000}"/>
    <cellStyle name="40% - Accent3 4 6 2" xfId="6641" xr:uid="{00000000-0005-0000-0000-00008C050000}"/>
    <cellStyle name="40% - Accent3 4 6 2 2" xfId="15967" xr:uid="{509AE39F-B139-4E0A-B920-27D4249204A9}"/>
    <cellStyle name="40% - Accent3 4 6 3" xfId="11750" xr:uid="{090191EB-39AA-4CE1-859A-63BE16BDA33A}"/>
    <cellStyle name="40% - Accent3 4 7" xfId="4575" xr:uid="{00000000-0005-0000-0000-00008D050000}"/>
    <cellStyle name="40% - Accent3 4 7 2" xfId="13901" xr:uid="{9F7D32A8-83C1-4388-A064-8B7267401503}"/>
    <cellStyle name="40% - Accent3 4 8" xfId="8952" xr:uid="{74BF8F1E-4A34-4787-9BA1-0B97E446635F}"/>
    <cellStyle name="40% - Accent3 4 8 2" xfId="18276" xr:uid="{D10778E9-EF87-475D-95A7-257D420F1FBE}"/>
    <cellStyle name="40% - Accent3 4 9" xfId="9684" xr:uid="{732D984F-7ED0-44A0-B9FF-0B0EF61E59D2}"/>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B43D9CCA-0C9B-48DE-A3EB-449D8BF76B78}"/>
    <cellStyle name="40% - Accent3 5 2 3" xfId="12236" xr:uid="{A7F1156F-F207-4594-93EE-F1815BE1C615}"/>
    <cellStyle name="40% - Accent3 5 3" xfId="4982" xr:uid="{00000000-0005-0000-0000-000091050000}"/>
    <cellStyle name="40% - Accent3 5 3 2" xfId="14308" xr:uid="{E9EC4582-2F33-4A08-AF50-A331284C06EC}"/>
    <cellStyle name="40% - Accent3 5 4" xfId="9185" xr:uid="{526F025D-EBF7-4976-9E38-4C0631A2843B}"/>
    <cellStyle name="40% - Accent3 5 4 2" xfId="18503" xr:uid="{C2662EC8-5B1D-48A5-9C69-DFA0247A4E89}"/>
    <cellStyle name="40% - Accent3 5 5" xfId="10091" xr:uid="{C40BB9C6-77DE-4268-B4E5-56CE294F5812}"/>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67951BB3-869B-4567-A9BD-1BE2E6FFC851}"/>
    <cellStyle name="40% - Accent3 6 2 3" xfId="12649" xr:uid="{4597BB32-231A-428F-A3AE-4B4DD08D4A8E}"/>
    <cellStyle name="40% - Accent3 6 3" xfId="5395" xr:uid="{00000000-0005-0000-0000-000095050000}"/>
    <cellStyle name="40% - Accent3 6 3 2" xfId="14721" xr:uid="{B1544CCB-354B-4C46-956F-628108079524}"/>
    <cellStyle name="40% - Accent3 6 4" xfId="10504" xr:uid="{DF2EAC2D-9EAA-4289-99A6-645E9A7E8CDC}"/>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DBA63413-C345-4087-8529-FE9AD51841C0}"/>
    <cellStyle name="40% - Accent3 7 2 3" xfId="13062" xr:uid="{7519AA4B-0A60-4051-9C97-72A611F5DB28}"/>
    <cellStyle name="40% - Accent3 7 3" xfId="5808" xr:uid="{00000000-0005-0000-0000-000099050000}"/>
    <cellStyle name="40% - Accent3 7 3 2" xfId="15134" xr:uid="{2297B0D2-DB82-43C8-A949-673392C37558}"/>
    <cellStyle name="40% - Accent3 7 4" xfId="10917" xr:uid="{5819C2C1-8A04-4A0A-9691-B3B99C2BD372}"/>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6DE579BB-2E38-4A8A-AAC7-2C672A43E1E7}"/>
    <cellStyle name="40% - Accent3 8 2 3" xfId="13475" xr:uid="{09E03260-5171-442E-AB07-9D4DEADA9DD6}"/>
    <cellStyle name="40% - Accent3 8 3" xfId="6221" xr:uid="{00000000-0005-0000-0000-00009D050000}"/>
    <cellStyle name="40% - Accent3 8 3 2" xfId="15547" xr:uid="{CDB6EF5D-B024-48D5-854A-22DE6597AE82}"/>
    <cellStyle name="40% - Accent3 8 4" xfId="11330" xr:uid="{F0F58DFD-5407-4A04-B518-DEE8DDABAA7E}"/>
    <cellStyle name="40% - Accent3 9" xfId="2328" xr:uid="{00000000-0005-0000-0000-00009E050000}"/>
    <cellStyle name="40% - Accent3 9 2" xfId="6634" xr:uid="{00000000-0005-0000-0000-00009F050000}"/>
    <cellStyle name="40% - Accent3 9 2 2" xfId="15960" xr:uid="{44BB7569-C934-4AB8-8ED0-CDF311C629BC}"/>
    <cellStyle name="40% - Accent3 9 3" xfId="11743" xr:uid="{4A56F451-645A-437A-93C8-CD1B227384CC}"/>
    <cellStyle name="40% - Accent4" xfId="73" builtinId="43" customBuiltin="1"/>
    <cellStyle name="40% - Accent4 10" xfId="4576" xr:uid="{00000000-0005-0000-0000-0000A1050000}"/>
    <cellStyle name="40% - Accent4 10 2" xfId="13902" xr:uid="{F0D31316-37F7-4B55-A1A3-8988CE43CFD4}"/>
    <cellStyle name="40% - Accent4 11" xfId="8765" xr:uid="{18B6B6D6-5043-43D1-BB02-3855BF7027C3}"/>
    <cellStyle name="40% - Accent4 11 2" xfId="18089" xr:uid="{0583C980-4E20-45F7-8AA4-CF7169D69EFE}"/>
    <cellStyle name="40% - Accent4 12" xfId="9685" xr:uid="{C77AC01B-5E87-490E-84B3-EF1519EBD618}"/>
    <cellStyle name="40% - Accent4 2" xfId="74" xr:uid="{00000000-0005-0000-0000-0000A2050000}"/>
    <cellStyle name="40% - Accent4 2 10" xfId="8801" xr:uid="{223FCC58-A05E-4022-8080-E75A80678FA6}"/>
    <cellStyle name="40% - Accent4 2 10 2" xfId="18125" xr:uid="{58725F90-9BFD-4634-ADC0-CF87B884B77D}"/>
    <cellStyle name="40% - Accent4 2 11" xfId="9686" xr:uid="{D169CF6A-8A06-49D6-AE47-B1F1B06890A8}"/>
    <cellStyle name="40% - Accent4 2 2" xfId="75" xr:uid="{00000000-0005-0000-0000-0000A3050000}"/>
    <cellStyle name="40% - Accent4 2 2 10" xfId="9687" xr:uid="{379C01B5-629E-4854-984B-ED05FC84DC5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051639D2-484A-46F5-A070-699345880376}"/>
    <cellStyle name="40% - Accent4 2 2 2 2 2 3" xfId="12247" xr:uid="{7DD72F56-C180-476E-95AE-4E873BB8712B}"/>
    <cellStyle name="40% - Accent4 2 2 2 2 3" xfId="4993" xr:uid="{00000000-0005-0000-0000-0000A8050000}"/>
    <cellStyle name="40% - Accent4 2 2 2 2 3 2" xfId="14319" xr:uid="{65E482A9-7F68-445E-B771-E91DC434A26C}"/>
    <cellStyle name="40% - Accent4 2 2 2 2 4" xfId="9536" xr:uid="{4351D24F-CE30-4CFD-968F-4B882F0FC9B5}"/>
    <cellStyle name="40% - Accent4 2 2 2 2 4 2" xfId="18851" xr:uid="{3FCD7510-63E6-4586-A521-30B803B213F4}"/>
    <cellStyle name="40% - Accent4 2 2 2 2 5" xfId="10102" xr:uid="{7396A47A-8549-4B5D-A97D-2EC966369D42}"/>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547E5117-4471-4833-8080-DC6C294D88A3}"/>
    <cellStyle name="40% - Accent4 2 2 2 3 2 3" xfId="12660" xr:uid="{60821345-8613-48DB-AB52-A773766BD286}"/>
    <cellStyle name="40% - Accent4 2 2 2 3 3" xfId="5406" xr:uid="{00000000-0005-0000-0000-0000AC050000}"/>
    <cellStyle name="40% - Accent4 2 2 2 3 3 2" xfId="14732" xr:uid="{FEADFFFE-9760-415C-9682-861FBE816AF0}"/>
    <cellStyle name="40% - Accent4 2 2 2 3 4" xfId="10515" xr:uid="{079ABB73-5DA8-4EDD-81CD-20207215566E}"/>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DBBC5CC5-ECC4-4613-AF55-822C8739154D}"/>
    <cellStyle name="40% - Accent4 2 2 2 4 2 3" xfId="13073" xr:uid="{CD089D76-1038-4F1E-BA69-830CCDAF1436}"/>
    <cellStyle name="40% - Accent4 2 2 2 4 3" xfId="5819" xr:uid="{00000000-0005-0000-0000-0000B0050000}"/>
    <cellStyle name="40% - Accent4 2 2 2 4 3 2" xfId="15145" xr:uid="{6E4146B8-C7D6-408D-89BC-4A5998BF8855}"/>
    <cellStyle name="40% - Accent4 2 2 2 4 4" xfId="10928" xr:uid="{A14F0303-077B-4795-894F-2F97E870A896}"/>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0C380DBF-6D76-41F9-AA4C-59723CC2A4F7}"/>
    <cellStyle name="40% - Accent4 2 2 2 5 2 3" xfId="13486" xr:uid="{BAF5A0DA-A0C3-4D56-BB3B-BDD4F65C8C71}"/>
    <cellStyle name="40% - Accent4 2 2 2 5 3" xfId="6232" xr:uid="{00000000-0005-0000-0000-0000B4050000}"/>
    <cellStyle name="40% - Accent4 2 2 2 5 3 2" xfId="15558" xr:uid="{979C52E9-314C-4471-B0AD-414B25FC0A11}"/>
    <cellStyle name="40% - Accent4 2 2 2 5 4" xfId="11341" xr:uid="{078294C9-11EE-4D2D-9890-C53EFF016EB1}"/>
    <cellStyle name="40% - Accent4 2 2 2 6" xfId="2339" xr:uid="{00000000-0005-0000-0000-0000B5050000}"/>
    <cellStyle name="40% - Accent4 2 2 2 6 2" xfId="6645" xr:uid="{00000000-0005-0000-0000-0000B6050000}"/>
    <cellStyle name="40% - Accent4 2 2 2 6 2 2" xfId="15971" xr:uid="{076974F0-7FA6-4783-B5E8-28C3DE2E4830}"/>
    <cellStyle name="40% - Accent4 2 2 2 6 3" xfId="11754" xr:uid="{3F7E7C88-6E21-446A-8346-BCC7E088E31B}"/>
    <cellStyle name="40% - Accent4 2 2 2 7" xfId="4579" xr:uid="{00000000-0005-0000-0000-0000B7050000}"/>
    <cellStyle name="40% - Accent4 2 2 2 7 2" xfId="13905" xr:uid="{892FD948-8F44-46B1-98AF-090BFA22FD03}"/>
    <cellStyle name="40% - Accent4 2 2 2 8" xfId="9111" xr:uid="{1DD86F12-0D11-497C-88D9-78D90E1EF65F}"/>
    <cellStyle name="40% - Accent4 2 2 2 8 2" xfId="18435" xr:uid="{63F4070A-8819-4E9D-8A02-030B32A2E0E4}"/>
    <cellStyle name="40% - Accent4 2 2 2 9" xfId="9688" xr:uid="{AD2E444D-FEC0-4408-9CF8-060C77DA84C8}"/>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E7AD7089-BF45-4198-B8FA-A33F8A404BE0}"/>
    <cellStyle name="40% - Accent4 2 2 3 2 3" xfId="12246" xr:uid="{70690026-E7FB-483E-96A9-3DC7B8BE6FE0}"/>
    <cellStyle name="40% - Accent4 2 2 3 3" xfId="4992" xr:uid="{00000000-0005-0000-0000-0000BB050000}"/>
    <cellStyle name="40% - Accent4 2 2 3 3 2" xfId="14318" xr:uid="{C816C452-7D1C-4281-A9DA-198BAC9B5C08}"/>
    <cellStyle name="40% - Accent4 2 2 3 4" xfId="9329" xr:uid="{62CB3536-9FC4-4DBF-9121-AD0025D891C9}"/>
    <cellStyle name="40% - Accent4 2 2 3 4 2" xfId="18644" xr:uid="{9EBB5946-9347-4A75-B5B6-B05ACA549DBB}"/>
    <cellStyle name="40% - Accent4 2 2 3 5" xfId="10101" xr:uid="{3ED75BF3-1862-4924-837A-141DB67C762D}"/>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BD02B34F-0D37-4C64-9D6E-4CA4AEAE4F4C}"/>
    <cellStyle name="40% - Accent4 2 2 4 2 3" xfId="12659" xr:uid="{AA73868F-A740-49C1-AAFB-2C1D845E5C83}"/>
    <cellStyle name="40% - Accent4 2 2 4 3" xfId="5405" xr:uid="{00000000-0005-0000-0000-0000BF050000}"/>
    <cellStyle name="40% - Accent4 2 2 4 3 2" xfId="14731" xr:uid="{C738040E-E5FF-4DEA-BDB5-F10833C58A81}"/>
    <cellStyle name="40% - Accent4 2 2 4 4" xfId="10514" xr:uid="{50CC3617-BEAD-4227-BE81-1AAAAD0A04C5}"/>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8E70A922-1424-4CAF-A192-FAFA3988D3D5}"/>
    <cellStyle name="40% - Accent4 2 2 5 2 3" xfId="13072" xr:uid="{E769CFE9-200B-487F-AD03-3D46E451E8E8}"/>
    <cellStyle name="40% - Accent4 2 2 5 3" xfId="5818" xr:uid="{00000000-0005-0000-0000-0000C3050000}"/>
    <cellStyle name="40% - Accent4 2 2 5 3 2" xfId="15144" xr:uid="{4193CC56-2DAA-4923-872B-E555FB27CC23}"/>
    <cellStyle name="40% - Accent4 2 2 5 4" xfId="10927" xr:uid="{8BC5CFE7-19A2-4E0C-A5C3-A14CE51146FB}"/>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B70EFF9D-F7BB-48B7-B808-62057E5A042D}"/>
    <cellStyle name="40% - Accent4 2 2 6 2 3" xfId="13485" xr:uid="{EA36AFCA-0374-475A-B2C9-110C8ACC5C93}"/>
    <cellStyle name="40% - Accent4 2 2 6 3" xfId="6231" xr:uid="{00000000-0005-0000-0000-0000C7050000}"/>
    <cellStyle name="40% - Accent4 2 2 6 3 2" xfId="15557" xr:uid="{D94CFCE6-DBB4-48CE-8F96-74A125401B7F}"/>
    <cellStyle name="40% - Accent4 2 2 6 4" xfId="11340" xr:uid="{03541047-EDDD-4623-9939-6A462FCE21EB}"/>
    <cellStyle name="40% - Accent4 2 2 7" xfId="2338" xr:uid="{00000000-0005-0000-0000-0000C8050000}"/>
    <cellStyle name="40% - Accent4 2 2 7 2" xfId="6644" xr:uid="{00000000-0005-0000-0000-0000C9050000}"/>
    <cellStyle name="40% - Accent4 2 2 7 2 2" xfId="15970" xr:uid="{E614DC7D-74AD-4CB4-9459-5E684764EC8B}"/>
    <cellStyle name="40% - Accent4 2 2 7 3" xfId="11753" xr:uid="{0B97CA2D-4370-4C5C-83E9-F753D6188585}"/>
    <cellStyle name="40% - Accent4 2 2 8" xfId="4578" xr:uid="{00000000-0005-0000-0000-0000CA050000}"/>
    <cellStyle name="40% - Accent4 2 2 8 2" xfId="13904" xr:uid="{7FA9EE02-C96F-4B74-A1DE-975ACB9C92E5}"/>
    <cellStyle name="40% - Accent4 2 2 9" xfId="8904" xr:uid="{64C959C5-2FAF-462D-88B6-14B59CDC763B}"/>
    <cellStyle name="40% - Accent4 2 2 9 2" xfId="18228" xr:uid="{5D4AB41F-E788-4C73-9424-B07DC15AC449}"/>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B8D02E52-F7B3-4241-B365-F7E09486D31F}"/>
    <cellStyle name="40% - Accent4 2 3 2 2 3" xfId="12248" xr:uid="{2B142CD6-756F-4574-A62B-1A425FDD5C8E}"/>
    <cellStyle name="40% - Accent4 2 3 2 3" xfId="4994" xr:uid="{00000000-0005-0000-0000-0000CF050000}"/>
    <cellStyle name="40% - Accent4 2 3 2 3 2" xfId="14320" xr:uid="{C0837EC2-032E-406E-84E7-FE8AEE4FC5DF}"/>
    <cellStyle name="40% - Accent4 2 3 2 4" xfId="9433" xr:uid="{058786D1-7E7D-40D9-9218-B4C7219F4E53}"/>
    <cellStyle name="40% - Accent4 2 3 2 4 2" xfId="18748" xr:uid="{DC73240E-7AE7-4108-92AC-7EB205005A4D}"/>
    <cellStyle name="40% - Accent4 2 3 2 5" xfId="10103" xr:uid="{31747A31-803E-4C29-85D1-78029B41DFE4}"/>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9654F699-6F95-465A-B1E4-E770CD41B410}"/>
    <cellStyle name="40% - Accent4 2 3 3 2 3" xfId="12661" xr:uid="{D8770C8D-E9E5-4830-918B-B5CDB136A1E1}"/>
    <cellStyle name="40% - Accent4 2 3 3 3" xfId="5407" xr:uid="{00000000-0005-0000-0000-0000D3050000}"/>
    <cellStyle name="40% - Accent4 2 3 3 3 2" xfId="14733" xr:uid="{1CA48988-F864-467F-A983-73C9236C10CE}"/>
    <cellStyle name="40% - Accent4 2 3 3 4" xfId="10516" xr:uid="{6C0EE2C3-70BD-4B19-BBE3-66F45B0B82ED}"/>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2A13944A-DD4A-4A64-95E1-C813E3016245}"/>
    <cellStyle name="40% - Accent4 2 3 4 2 3" xfId="13074" xr:uid="{C44A4F13-5E75-4979-B56C-F329AB3EA84D}"/>
    <cellStyle name="40% - Accent4 2 3 4 3" xfId="5820" xr:uid="{00000000-0005-0000-0000-0000D7050000}"/>
    <cellStyle name="40% - Accent4 2 3 4 3 2" xfId="15146" xr:uid="{E8020B52-38BC-4040-B389-1DE3CB65CE86}"/>
    <cellStyle name="40% - Accent4 2 3 4 4" xfId="10929" xr:uid="{30C244DC-0D8E-4532-A3D1-845F5E4FF38B}"/>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15498CE3-7FC5-4FA0-8D12-DE782DF4B391}"/>
    <cellStyle name="40% - Accent4 2 3 5 2 3" xfId="13487" xr:uid="{E8E3EFE1-8D69-440B-9AC7-B4ACC8E25C1B}"/>
    <cellStyle name="40% - Accent4 2 3 5 3" xfId="6233" xr:uid="{00000000-0005-0000-0000-0000DB050000}"/>
    <cellStyle name="40% - Accent4 2 3 5 3 2" xfId="15559" xr:uid="{9403770C-E607-44DF-9DCC-CA071249AA7D}"/>
    <cellStyle name="40% - Accent4 2 3 5 4" xfId="11342" xr:uid="{795812B5-7459-4A1D-959F-C042150DFDE7}"/>
    <cellStyle name="40% - Accent4 2 3 6" xfId="2340" xr:uid="{00000000-0005-0000-0000-0000DC050000}"/>
    <cellStyle name="40% - Accent4 2 3 6 2" xfId="6646" xr:uid="{00000000-0005-0000-0000-0000DD050000}"/>
    <cellStyle name="40% - Accent4 2 3 6 2 2" xfId="15972" xr:uid="{F67CED76-46A7-46E6-B9A3-D8E62BA43087}"/>
    <cellStyle name="40% - Accent4 2 3 6 3" xfId="11755" xr:uid="{C6180EA9-B1BF-446B-A397-58E1F4240F91}"/>
    <cellStyle name="40% - Accent4 2 3 7" xfId="4580" xr:uid="{00000000-0005-0000-0000-0000DE050000}"/>
    <cellStyle name="40% - Accent4 2 3 7 2" xfId="13906" xr:uid="{26F0716A-A153-4685-998E-C75E48D14682}"/>
    <cellStyle name="40% - Accent4 2 3 8" xfId="9008" xr:uid="{270F4CAB-C86F-4D9D-804F-69497913908B}"/>
    <cellStyle name="40% - Accent4 2 3 8 2" xfId="18332" xr:uid="{B60D302D-8E58-4B45-85B9-1A7BA9AD9B20}"/>
    <cellStyle name="40% - Accent4 2 3 9" xfId="9689" xr:uid="{8F204979-4CB8-4AC0-9ABF-168AACA72572}"/>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21CCB1E4-E93C-4604-AE99-5EF2CE03D80E}"/>
    <cellStyle name="40% - Accent4 2 4 2 3" xfId="12245" xr:uid="{88BD2461-E769-44D0-B00E-BA56D3EED826}"/>
    <cellStyle name="40% - Accent4 2 4 3" xfId="4991" xr:uid="{00000000-0005-0000-0000-0000E2050000}"/>
    <cellStyle name="40% - Accent4 2 4 3 2" xfId="14317" xr:uid="{B06BDE82-DBC1-4A8E-B133-9BED295983E5}"/>
    <cellStyle name="40% - Accent4 2 4 4" xfId="9225" xr:uid="{40EEB981-54C4-40E4-A2F9-BCD479248D23}"/>
    <cellStyle name="40% - Accent4 2 4 4 2" xfId="18541" xr:uid="{72A186C7-7E1D-4801-A1DC-8BC4E4A3CABD}"/>
    <cellStyle name="40% - Accent4 2 4 5" xfId="10100" xr:uid="{1E2DB08C-1808-4F7F-B136-5A40DA179771}"/>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D4E80B19-0669-422E-9C91-DFF35E66118C}"/>
    <cellStyle name="40% - Accent4 2 5 2 3" xfId="12658" xr:uid="{9D13FAAE-34DB-40F4-850E-46A1740E98F5}"/>
    <cellStyle name="40% - Accent4 2 5 3" xfId="5404" xr:uid="{00000000-0005-0000-0000-0000E6050000}"/>
    <cellStyle name="40% - Accent4 2 5 3 2" xfId="14730" xr:uid="{14BB7DF0-E3D4-4995-9A66-C0472C9C3987}"/>
    <cellStyle name="40% - Accent4 2 5 4" xfId="10513" xr:uid="{4E7215F0-4A61-454E-8818-9857FF9E72DF}"/>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9DFD9637-2A84-44BE-9D6D-1B4F95DA9278}"/>
    <cellStyle name="40% - Accent4 2 6 2 3" xfId="13071" xr:uid="{B6CE001E-637C-4A82-9878-0C73FE15A1EC}"/>
    <cellStyle name="40% - Accent4 2 6 3" xfId="5817" xr:uid="{00000000-0005-0000-0000-0000EA050000}"/>
    <cellStyle name="40% - Accent4 2 6 3 2" xfId="15143" xr:uid="{AE7A97E0-45BD-4CEA-B08D-20A074E93E4C}"/>
    <cellStyle name="40% - Accent4 2 6 4" xfId="10926" xr:uid="{6EAEC0C5-542D-4D5B-8ABF-4CDBEDD37248}"/>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D478886D-0839-457A-951B-D4B5B85AFC80}"/>
    <cellStyle name="40% - Accent4 2 7 2 3" xfId="13484" xr:uid="{36AC724C-E591-494D-87A8-ACBB14895BDC}"/>
    <cellStyle name="40% - Accent4 2 7 3" xfId="6230" xr:uid="{00000000-0005-0000-0000-0000EE050000}"/>
    <cellStyle name="40% - Accent4 2 7 3 2" xfId="15556" xr:uid="{ED23A9B4-B8B9-483B-A4A3-888DDBDA00F7}"/>
    <cellStyle name="40% - Accent4 2 7 4" xfId="11339" xr:uid="{23E69455-55EA-4439-B782-9FCD5EDA1C6D}"/>
    <cellStyle name="40% - Accent4 2 8" xfId="2337" xr:uid="{00000000-0005-0000-0000-0000EF050000}"/>
    <cellStyle name="40% - Accent4 2 8 2" xfId="6643" xr:uid="{00000000-0005-0000-0000-0000F0050000}"/>
    <cellStyle name="40% - Accent4 2 8 2 2" xfId="15969" xr:uid="{9F832B16-E6E4-4A2B-B24E-33F8B0252F93}"/>
    <cellStyle name="40% - Accent4 2 8 3" xfId="11752" xr:uid="{99B1339C-BB96-4813-8221-AEB837E09AE2}"/>
    <cellStyle name="40% - Accent4 2 9" xfId="4577" xr:uid="{00000000-0005-0000-0000-0000F1050000}"/>
    <cellStyle name="40% - Accent4 2 9 2" xfId="13903" xr:uid="{3872091A-CC00-45F7-BB7E-E3D23068AC89}"/>
    <cellStyle name="40% - Accent4 3" xfId="78" xr:uid="{00000000-0005-0000-0000-0000F2050000}"/>
    <cellStyle name="40% - Accent4 3 10" xfId="9690" xr:uid="{8F25EF50-FA9D-4848-B270-173CA65C72B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5485B512-CCEA-4BA0-933D-927155D996FB}"/>
    <cellStyle name="40% - Accent4 3 2 2 2 3" xfId="12250" xr:uid="{DFEBFB7C-1B0B-4D80-8411-FCEF46C1220F}"/>
    <cellStyle name="40% - Accent4 3 2 2 3" xfId="4996" xr:uid="{00000000-0005-0000-0000-0000F7050000}"/>
    <cellStyle name="40% - Accent4 3 2 2 3 2" xfId="14322" xr:uid="{51AB098E-4E5F-4617-9989-DAB0B17ABFC3}"/>
    <cellStyle name="40% - Accent4 3 2 2 4" xfId="9500" xr:uid="{EAAAC99F-A3A1-40FB-B78D-6862EF121B7A}"/>
    <cellStyle name="40% - Accent4 3 2 2 4 2" xfId="18815" xr:uid="{207D10AD-226A-42E3-BE19-5C1AC5E15497}"/>
    <cellStyle name="40% - Accent4 3 2 2 5" xfId="10105" xr:uid="{4B66E354-CBA9-4301-95AB-3DF87F4BD268}"/>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42F9AF53-07D4-4686-8776-A96C577FA152}"/>
    <cellStyle name="40% - Accent4 3 2 3 2 3" xfId="12663" xr:uid="{38AC018E-013C-4112-BA79-F67FC68EC724}"/>
    <cellStyle name="40% - Accent4 3 2 3 3" xfId="5409" xr:uid="{00000000-0005-0000-0000-0000FB050000}"/>
    <cellStyle name="40% - Accent4 3 2 3 3 2" xfId="14735" xr:uid="{27977519-0C2F-4D93-AD24-27F0BE59393E}"/>
    <cellStyle name="40% - Accent4 3 2 3 4" xfId="10518" xr:uid="{0227BD42-3B13-4369-9746-5D06931D9609}"/>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3F17BA8E-3332-4980-95C3-F696A6D3FBF2}"/>
    <cellStyle name="40% - Accent4 3 2 4 2 3" xfId="13076" xr:uid="{F0E95562-AA57-4782-BE3C-49A042F24EE0}"/>
    <cellStyle name="40% - Accent4 3 2 4 3" xfId="5822" xr:uid="{00000000-0005-0000-0000-0000FF050000}"/>
    <cellStyle name="40% - Accent4 3 2 4 3 2" xfId="15148" xr:uid="{8B8E12EB-C805-47C1-B3C8-68F4F768B329}"/>
    <cellStyle name="40% - Accent4 3 2 4 4" xfId="10931" xr:uid="{4F0B238A-C5CB-4E12-8C2A-399D46D5B869}"/>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D52BD9F1-BE4E-4FCF-9D96-A7AA0BA912E7}"/>
    <cellStyle name="40% - Accent4 3 2 5 2 3" xfId="13489" xr:uid="{CA7ACEA3-4990-42E3-8712-2DB0A424CC51}"/>
    <cellStyle name="40% - Accent4 3 2 5 3" xfId="6235" xr:uid="{00000000-0005-0000-0000-000003060000}"/>
    <cellStyle name="40% - Accent4 3 2 5 3 2" xfId="15561" xr:uid="{85E6C6CC-460E-49C8-810B-2B2B4763F150}"/>
    <cellStyle name="40% - Accent4 3 2 5 4" xfId="11344" xr:uid="{41CCF096-367C-46D3-8342-C03F8BAD33BE}"/>
    <cellStyle name="40% - Accent4 3 2 6" xfId="2342" xr:uid="{00000000-0005-0000-0000-000004060000}"/>
    <cellStyle name="40% - Accent4 3 2 6 2" xfId="6648" xr:uid="{00000000-0005-0000-0000-000005060000}"/>
    <cellStyle name="40% - Accent4 3 2 6 2 2" xfId="15974" xr:uid="{C745FCF8-9900-45D3-89B2-142C50AF259C}"/>
    <cellStyle name="40% - Accent4 3 2 6 3" xfId="11757" xr:uid="{386B0BED-2C77-411E-9691-F34D444F78AC}"/>
    <cellStyle name="40% - Accent4 3 2 7" xfId="4582" xr:uid="{00000000-0005-0000-0000-000006060000}"/>
    <cellStyle name="40% - Accent4 3 2 7 2" xfId="13908" xr:uid="{92F1D6F0-039C-4ABF-ABD3-9865926870A2}"/>
    <cellStyle name="40% - Accent4 3 2 8" xfId="9075" xr:uid="{6C51FF47-5618-4E1E-BC97-01FFF287A6C3}"/>
    <cellStyle name="40% - Accent4 3 2 8 2" xfId="18399" xr:uid="{F5F3AA37-DF31-4CA5-8381-AED54FF149B1}"/>
    <cellStyle name="40% - Accent4 3 2 9" xfId="9691" xr:uid="{44B25F11-8563-4CBF-A5E3-B718816EA058}"/>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DCE228C0-C70A-4142-B822-889C432E2C0D}"/>
    <cellStyle name="40% - Accent4 3 3 2 3" xfId="12249" xr:uid="{B667430E-3F6D-45C1-A181-62E82C348200}"/>
    <cellStyle name="40% - Accent4 3 3 3" xfId="4995" xr:uid="{00000000-0005-0000-0000-00000A060000}"/>
    <cellStyle name="40% - Accent4 3 3 3 2" xfId="14321" xr:uid="{A717B8BD-B5FC-4CD3-AF79-A3CAEE48B295}"/>
    <cellStyle name="40% - Accent4 3 3 4" xfId="9293" xr:uid="{4A28D7F5-3617-45DC-A350-6C6596CDA765}"/>
    <cellStyle name="40% - Accent4 3 3 4 2" xfId="18608" xr:uid="{F316A58C-6D4C-41AB-A8F1-2867C4B2EFBE}"/>
    <cellStyle name="40% - Accent4 3 3 5" xfId="10104" xr:uid="{35B42E56-C872-4D6E-9A7C-D9FC3D2B37C7}"/>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19A1F444-CA83-440A-9750-44BAD6CC69FF}"/>
    <cellStyle name="40% - Accent4 3 4 2 3" xfId="12662" xr:uid="{E775E0B1-02A8-41A3-BE74-730AA462FD9B}"/>
    <cellStyle name="40% - Accent4 3 4 3" xfId="5408" xr:uid="{00000000-0005-0000-0000-00000E060000}"/>
    <cellStyle name="40% - Accent4 3 4 3 2" xfId="14734" xr:uid="{624758EC-C3DF-42E2-9A74-A161BC346968}"/>
    <cellStyle name="40% - Accent4 3 4 4" xfId="10517" xr:uid="{1E1CA0D5-F055-450A-BDBB-15365770D05B}"/>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432849DA-DC64-4B2F-A2B3-5E9DA83F08CC}"/>
    <cellStyle name="40% - Accent4 3 5 2 3" xfId="13075" xr:uid="{E1EF49DD-38A6-43A8-8556-B095A965FD69}"/>
    <cellStyle name="40% - Accent4 3 5 3" xfId="5821" xr:uid="{00000000-0005-0000-0000-000012060000}"/>
    <cellStyle name="40% - Accent4 3 5 3 2" xfId="15147" xr:uid="{C35BCDFB-7E48-49C2-B48A-FC50BBFBA334}"/>
    <cellStyle name="40% - Accent4 3 5 4" xfId="10930" xr:uid="{6FFE5F34-E512-40B1-BC2C-BA829591FD1B}"/>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2EF3FBF4-9BBD-4800-985F-3683DA2C8D98}"/>
    <cellStyle name="40% - Accent4 3 6 2 3" xfId="13488" xr:uid="{90DC9C6B-2F47-4F97-B8D0-3965DC9E7DA3}"/>
    <cellStyle name="40% - Accent4 3 6 3" xfId="6234" xr:uid="{00000000-0005-0000-0000-000016060000}"/>
    <cellStyle name="40% - Accent4 3 6 3 2" xfId="15560" xr:uid="{1893D1B4-C213-4A60-B616-EC38ACE03355}"/>
    <cellStyle name="40% - Accent4 3 6 4" xfId="11343" xr:uid="{C37DA940-8BE4-4384-A393-CD36F3A6D4C7}"/>
    <cellStyle name="40% - Accent4 3 7" xfId="2341" xr:uid="{00000000-0005-0000-0000-000017060000}"/>
    <cellStyle name="40% - Accent4 3 7 2" xfId="6647" xr:uid="{00000000-0005-0000-0000-000018060000}"/>
    <cellStyle name="40% - Accent4 3 7 2 2" xfId="15973" xr:uid="{D932A9EF-60E7-4E8A-BFE6-9E7230120A28}"/>
    <cellStyle name="40% - Accent4 3 7 3" xfId="11756" xr:uid="{09ADFAF4-185E-4303-91AA-3814FF488503}"/>
    <cellStyle name="40% - Accent4 3 8" xfId="4581" xr:uid="{00000000-0005-0000-0000-000019060000}"/>
    <cellStyle name="40% - Accent4 3 8 2" xfId="13907" xr:uid="{ED08F367-2C6B-4A0E-9A87-2DAEA70606AB}"/>
    <cellStyle name="40% - Accent4 3 9" xfId="8868" xr:uid="{538D9F50-ACCA-4DB0-A3F1-A129ACFFA0BF}"/>
    <cellStyle name="40% - Accent4 3 9 2" xfId="18192" xr:uid="{FF5A2C58-22DB-497D-B464-B95C117180F5}"/>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4C287F79-59D7-4255-8434-A23EBA99B228}"/>
    <cellStyle name="40% - Accent4 4 2 2 3" xfId="12251" xr:uid="{4851744F-652D-4157-A97F-FC19093EB4D3}"/>
    <cellStyle name="40% - Accent4 4 2 3" xfId="4997" xr:uid="{00000000-0005-0000-0000-00001E060000}"/>
    <cellStyle name="40% - Accent4 4 2 3 2" xfId="14323" xr:uid="{1FA0A05F-824B-4F60-BF80-5FC19863C739}"/>
    <cellStyle name="40% - Accent4 4 2 4" xfId="9379" xr:uid="{EE31EAE0-1741-4D6E-B7B4-C5DB59044F55}"/>
    <cellStyle name="40% - Accent4 4 2 4 2" xfId="18694" xr:uid="{1F91DB0A-11AF-46B3-A2BF-462C6DBBDBD0}"/>
    <cellStyle name="40% - Accent4 4 2 5" xfId="10106" xr:uid="{D23AF87E-FF5C-48A1-9B7A-5F3FE3B38B9C}"/>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6F69E125-0494-4430-8A3E-873A1FA294D4}"/>
    <cellStyle name="40% - Accent4 4 3 2 3" xfId="12664" xr:uid="{547DA4C6-7073-42DA-B16E-863309DEB756}"/>
    <cellStyle name="40% - Accent4 4 3 3" xfId="5410" xr:uid="{00000000-0005-0000-0000-000022060000}"/>
    <cellStyle name="40% - Accent4 4 3 3 2" xfId="14736" xr:uid="{C9848591-5E5B-4B0A-8D37-F64D7C0CA463}"/>
    <cellStyle name="40% - Accent4 4 3 4" xfId="10519" xr:uid="{99FE142D-CC49-4F28-B2B0-1B2DC031F9C7}"/>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2DD6406D-0845-4A6B-A13B-BE46187CD420}"/>
    <cellStyle name="40% - Accent4 4 4 2 3" xfId="13077" xr:uid="{945F122C-5396-413D-A062-38A8997A1549}"/>
    <cellStyle name="40% - Accent4 4 4 3" xfId="5823" xr:uid="{00000000-0005-0000-0000-000026060000}"/>
    <cellStyle name="40% - Accent4 4 4 3 2" xfId="15149" xr:uid="{312FC284-6D4B-433B-A51C-F9999E7DE643}"/>
    <cellStyle name="40% - Accent4 4 4 4" xfId="10932" xr:uid="{02EAD17F-7DDA-4A5F-8892-B50A15B760C3}"/>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FBBA42B0-91E2-4C07-8385-7E395CB72B5B}"/>
    <cellStyle name="40% - Accent4 4 5 2 3" xfId="13490" xr:uid="{88223D47-1BB9-4D59-9C97-3942B29BEDBE}"/>
    <cellStyle name="40% - Accent4 4 5 3" xfId="6236" xr:uid="{00000000-0005-0000-0000-00002A060000}"/>
    <cellStyle name="40% - Accent4 4 5 3 2" xfId="15562" xr:uid="{F93FB2B5-919C-42A1-A44D-E1EC21470175}"/>
    <cellStyle name="40% - Accent4 4 5 4" xfId="11345" xr:uid="{A4C33376-501A-4D0E-BD07-B8E23078FD1D}"/>
    <cellStyle name="40% - Accent4 4 6" xfId="2343" xr:uid="{00000000-0005-0000-0000-00002B060000}"/>
    <cellStyle name="40% - Accent4 4 6 2" xfId="6649" xr:uid="{00000000-0005-0000-0000-00002C060000}"/>
    <cellStyle name="40% - Accent4 4 6 2 2" xfId="15975" xr:uid="{8828E108-1299-4BC3-94FA-1F53E433F338}"/>
    <cellStyle name="40% - Accent4 4 6 3" xfId="11758" xr:uid="{A3481058-0D44-4112-84EF-36262D8744E4}"/>
    <cellStyle name="40% - Accent4 4 7" xfId="4583" xr:uid="{00000000-0005-0000-0000-00002D060000}"/>
    <cellStyle name="40% - Accent4 4 7 2" xfId="13909" xr:uid="{B7E744A5-695E-4FAD-8B70-647D0489FD9D}"/>
    <cellStyle name="40% - Accent4 4 8" xfId="8954" xr:uid="{2C178683-58B3-4513-85E7-15FAC3AC035D}"/>
    <cellStyle name="40% - Accent4 4 8 2" xfId="18278" xr:uid="{BD8D37FA-69CC-4A79-B673-0115C2E48E51}"/>
    <cellStyle name="40% - Accent4 4 9" xfId="9692" xr:uid="{134B6456-CA3B-4BEC-8DBF-B9DAB88A9B0E}"/>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EF9EDCD5-5418-42CE-890C-87D68986B615}"/>
    <cellStyle name="40% - Accent4 5 2 3" xfId="12244" xr:uid="{7EF981CA-8E3A-49DA-AE7C-524D1C65BE3D}"/>
    <cellStyle name="40% - Accent4 5 3" xfId="4990" xr:uid="{00000000-0005-0000-0000-000031060000}"/>
    <cellStyle name="40% - Accent4 5 3 2" xfId="14316" xr:uid="{621AA606-2FF5-4BC7-BF16-FA5E60371C73}"/>
    <cellStyle name="40% - Accent4 5 4" xfId="9187" xr:uid="{33022C89-0CDD-4091-8005-358F63FF8F46}"/>
    <cellStyle name="40% - Accent4 5 4 2" xfId="18505" xr:uid="{722DD34B-A4EA-4A54-81A0-3AF54E6194F2}"/>
    <cellStyle name="40% - Accent4 5 5" xfId="10099" xr:uid="{69F25F7F-EF9C-4A53-B733-4C7F154619F0}"/>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904180F8-B641-4BA4-B92C-DD547600CDD2}"/>
    <cellStyle name="40% - Accent4 6 2 3" xfId="12657" xr:uid="{ECC15684-1C54-4957-AD05-BD773B684879}"/>
    <cellStyle name="40% - Accent4 6 3" xfId="5403" xr:uid="{00000000-0005-0000-0000-000035060000}"/>
    <cellStyle name="40% - Accent4 6 3 2" xfId="14729" xr:uid="{5E9BD3B3-CD34-4950-9078-940A7AD3ED75}"/>
    <cellStyle name="40% - Accent4 6 4" xfId="10512" xr:uid="{04876AF0-4A3C-43C0-9E30-E9EF4326AA2D}"/>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5D7F7514-E0B8-45A3-92FC-D622F624C45F}"/>
    <cellStyle name="40% - Accent4 7 2 3" xfId="13070" xr:uid="{2FD7C741-7727-4518-B51C-2A9C6D6390A9}"/>
    <cellStyle name="40% - Accent4 7 3" xfId="5816" xr:uid="{00000000-0005-0000-0000-000039060000}"/>
    <cellStyle name="40% - Accent4 7 3 2" xfId="15142" xr:uid="{9ABCCA27-4BFA-4ADD-B0FB-1C293E76B86B}"/>
    <cellStyle name="40% - Accent4 7 4" xfId="10925" xr:uid="{08295C63-3D8F-46E2-9C21-D40322E6CF48}"/>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E71FDD6D-C3BF-426C-BEB4-30C37DEC5447}"/>
    <cellStyle name="40% - Accent4 8 2 3" xfId="13483" xr:uid="{DB5CFEE5-41CE-4B97-8591-B538A52FF14F}"/>
    <cellStyle name="40% - Accent4 8 3" xfId="6229" xr:uid="{00000000-0005-0000-0000-00003D060000}"/>
    <cellStyle name="40% - Accent4 8 3 2" xfId="15555" xr:uid="{F762CD06-3B68-491E-A4C9-1BDABEB4D9F8}"/>
    <cellStyle name="40% - Accent4 8 4" xfId="11338" xr:uid="{4BFC9E4D-6D73-422F-8473-BD0DD3FD7507}"/>
    <cellStyle name="40% - Accent4 9" xfId="2336" xr:uid="{00000000-0005-0000-0000-00003E060000}"/>
    <cellStyle name="40% - Accent4 9 2" xfId="6642" xr:uid="{00000000-0005-0000-0000-00003F060000}"/>
    <cellStyle name="40% - Accent4 9 2 2" xfId="15968" xr:uid="{BB9DA126-5AC2-46EB-AAD9-42E8A846D40E}"/>
    <cellStyle name="40% - Accent4 9 3" xfId="11751" xr:uid="{DA9EC256-D5AC-4D3A-AED3-452050D52095}"/>
    <cellStyle name="40% - Accent5" xfId="81" builtinId="47" customBuiltin="1"/>
    <cellStyle name="40% - Accent5 10" xfId="4584" xr:uid="{00000000-0005-0000-0000-000041060000}"/>
    <cellStyle name="40% - Accent5 10 2" xfId="13910" xr:uid="{DD382212-BCE7-4C65-987F-C716127BBB73}"/>
    <cellStyle name="40% - Accent5 11" xfId="8767" xr:uid="{7A46ADF8-3420-4D4A-A3FE-8E96F0FA38E7}"/>
    <cellStyle name="40% - Accent5 11 2" xfId="18091" xr:uid="{B5E04135-2684-4032-93A0-DC7849380E16}"/>
    <cellStyle name="40% - Accent5 12" xfId="9693" xr:uid="{9E03F629-370B-4F96-96AA-20508BC3B000}"/>
    <cellStyle name="40% - Accent5 2" xfId="82" xr:uid="{00000000-0005-0000-0000-000042060000}"/>
    <cellStyle name="40% - Accent5 2 10" xfId="8802" xr:uid="{CF9BFF45-99AC-47A3-8B01-051C55FBB24D}"/>
    <cellStyle name="40% - Accent5 2 10 2" xfId="18126" xr:uid="{7CB07BFE-F8F3-43EE-9D6B-94E54BF75C55}"/>
    <cellStyle name="40% - Accent5 2 11" xfId="9694" xr:uid="{987AF33A-C6FB-4C69-A718-79ACD72B7889}"/>
    <cellStyle name="40% - Accent5 2 2" xfId="83" xr:uid="{00000000-0005-0000-0000-000043060000}"/>
    <cellStyle name="40% - Accent5 2 2 10" xfId="9695" xr:uid="{0AB6DA33-0F50-42FE-887F-130D0DCABB2D}"/>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CE111734-85CC-472D-8C0A-AA65838106D3}"/>
    <cellStyle name="40% - Accent5 2 2 2 2 2 3" xfId="12255" xr:uid="{7934BE1A-F771-4021-99B5-A29455E9C01B}"/>
    <cellStyle name="40% - Accent5 2 2 2 2 3" xfId="5001" xr:uid="{00000000-0005-0000-0000-000048060000}"/>
    <cellStyle name="40% - Accent5 2 2 2 2 3 2" xfId="14327" xr:uid="{FED985EC-FD8F-41C1-A45C-0613A7BA0008}"/>
    <cellStyle name="40% - Accent5 2 2 2 2 4" xfId="9537" xr:uid="{83834145-5D3F-4083-A609-6DB90651C4CE}"/>
    <cellStyle name="40% - Accent5 2 2 2 2 4 2" xfId="18852" xr:uid="{31D0DFBE-E670-49F6-9361-1E969D98F713}"/>
    <cellStyle name="40% - Accent5 2 2 2 2 5" xfId="10110" xr:uid="{40D2ECE2-A415-40A3-AB4A-68776AA84853}"/>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86B178ED-EC04-4197-BB7B-4BA92DE7E63B}"/>
    <cellStyle name="40% - Accent5 2 2 2 3 2 3" xfId="12668" xr:uid="{7BA4F0A2-1C39-4CE4-8B73-14D7902D3333}"/>
    <cellStyle name="40% - Accent5 2 2 2 3 3" xfId="5414" xr:uid="{00000000-0005-0000-0000-00004C060000}"/>
    <cellStyle name="40% - Accent5 2 2 2 3 3 2" xfId="14740" xr:uid="{335A508D-2744-4A29-9CB0-265A616E153D}"/>
    <cellStyle name="40% - Accent5 2 2 2 3 4" xfId="10523" xr:uid="{39B1F52D-B1D9-4550-AD68-FCC66FAC61FC}"/>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DA073ACB-A156-45D2-B216-6AA2BCAE19E0}"/>
    <cellStyle name="40% - Accent5 2 2 2 4 2 3" xfId="13081" xr:uid="{F8C5AAC4-29D4-4183-8348-7B28F51E24A5}"/>
    <cellStyle name="40% - Accent5 2 2 2 4 3" xfId="5827" xr:uid="{00000000-0005-0000-0000-000050060000}"/>
    <cellStyle name="40% - Accent5 2 2 2 4 3 2" xfId="15153" xr:uid="{258DE87F-24F1-4320-B93C-1D322663E6D7}"/>
    <cellStyle name="40% - Accent5 2 2 2 4 4" xfId="10936" xr:uid="{0E98BE36-0189-43AB-8C3C-34722CE820B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54986B76-F6E0-43C8-9A03-58875FB84DE7}"/>
    <cellStyle name="40% - Accent5 2 2 2 5 2 3" xfId="13494" xr:uid="{B34A47B9-8925-44E6-BAFF-987FAC1E39BC}"/>
    <cellStyle name="40% - Accent5 2 2 2 5 3" xfId="6240" xr:uid="{00000000-0005-0000-0000-000054060000}"/>
    <cellStyle name="40% - Accent5 2 2 2 5 3 2" xfId="15566" xr:uid="{AA8F6C28-F675-45BF-A1D4-0CDE8D0FEA82}"/>
    <cellStyle name="40% - Accent5 2 2 2 5 4" xfId="11349" xr:uid="{C55443F5-524C-4ECB-B647-D8DE3982CB0A}"/>
    <cellStyle name="40% - Accent5 2 2 2 6" xfId="2347" xr:uid="{00000000-0005-0000-0000-000055060000}"/>
    <cellStyle name="40% - Accent5 2 2 2 6 2" xfId="6653" xr:uid="{00000000-0005-0000-0000-000056060000}"/>
    <cellStyle name="40% - Accent5 2 2 2 6 2 2" xfId="15979" xr:uid="{2471322F-8507-446C-8889-6396EAD8D3D7}"/>
    <cellStyle name="40% - Accent5 2 2 2 6 3" xfId="11762" xr:uid="{F0AF436D-8509-490B-BE1B-416E0CC584AE}"/>
    <cellStyle name="40% - Accent5 2 2 2 7" xfId="4587" xr:uid="{00000000-0005-0000-0000-000057060000}"/>
    <cellStyle name="40% - Accent5 2 2 2 7 2" xfId="13913" xr:uid="{B266471E-AF4C-471C-A893-76EC3A48BE5D}"/>
    <cellStyle name="40% - Accent5 2 2 2 8" xfId="9112" xr:uid="{65D0CC40-E9D0-4CE3-B684-8DE4A2C7BCD7}"/>
    <cellStyle name="40% - Accent5 2 2 2 8 2" xfId="18436" xr:uid="{DF2BFA29-F1D7-4A57-B156-B05F2C76ADF5}"/>
    <cellStyle name="40% - Accent5 2 2 2 9" xfId="9696" xr:uid="{59F3FF67-703D-4AAC-BA71-2BB82DD73934}"/>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B9AC3765-79EB-4F7E-AC52-F89853043C41}"/>
    <cellStyle name="40% - Accent5 2 2 3 2 3" xfId="12254" xr:uid="{7B329251-0EB5-4421-BA15-3573259AAB76}"/>
    <cellStyle name="40% - Accent5 2 2 3 3" xfId="5000" xr:uid="{00000000-0005-0000-0000-00005B060000}"/>
    <cellStyle name="40% - Accent5 2 2 3 3 2" xfId="14326" xr:uid="{6E65221E-5B86-4A42-8731-AA2AB4F45A9D}"/>
    <cellStyle name="40% - Accent5 2 2 3 4" xfId="9330" xr:uid="{75959B30-FD84-42A5-95AE-69048CCC8361}"/>
    <cellStyle name="40% - Accent5 2 2 3 4 2" xfId="18645" xr:uid="{8109C076-E2FA-466E-99CC-7CC27656A1FE}"/>
    <cellStyle name="40% - Accent5 2 2 3 5" xfId="10109" xr:uid="{3251454E-0781-4C49-ACFC-106DC0A88A53}"/>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CD82DD06-D0D5-415D-9442-0825CB8E61A0}"/>
    <cellStyle name="40% - Accent5 2 2 4 2 3" xfId="12667" xr:uid="{02E9BC64-7999-4329-A3EB-743DE45BC552}"/>
    <cellStyle name="40% - Accent5 2 2 4 3" xfId="5413" xr:uid="{00000000-0005-0000-0000-00005F060000}"/>
    <cellStyle name="40% - Accent5 2 2 4 3 2" xfId="14739" xr:uid="{D25994B9-6008-48E9-A7C6-0AC53A909A7D}"/>
    <cellStyle name="40% - Accent5 2 2 4 4" xfId="10522" xr:uid="{26E24F0A-09A1-48BC-995E-EFA2C0C609EF}"/>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372D71E0-F73B-4A51-9D8D-317A14540E9E}"/>
    <cellStyle name="40% - Accent5 2 2 5 2 3" xfId="13080" xr:uid="{B9FAA181-80E7-4630-BE85-D6D8E11B7B33}"/>
    <cellStyle name="40% - Accent5 2 2 5 3" xfId="5826" xr:uid="{00000000-0005-0000-0000-000063060000}"/>
    <cellStyle name="40% - Accent5 2 2 5 3 2" xfId="15152" xr:uid="{26012FA7-DE94-4774-8D02-6CE5A59AD834}"/>
    <cellStyle name="40% - Accent5 2 2 5 4" xfId="10935" xr:uid="{31075489-A2CE-41A4-A2E0-01CC732F9876}"/>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09D65F18-FFB0-42F6-AD67-674110DB731D}"/>
    <cellStyle name="40% - Accent5 2 2 6 2 3" xfId="13493" xr:uid="{6A4ACCA8-5061-4587-8E60-042C5987FDFB}"/>
    <cellStyle name="40% - Accent5 2 2 6 3" xfId="6239" xr:uid="{00000000-0005-0000-0000-000067060000}"/>
    <cellStyle name="40% - Accent5 2 2 6 3 2" xfId="15565" xr:uid="{C6C3C4E3-6E5E-430E-98FA-B4B034BB1D0C}"/>
    <cellStyle name="40% - Accent5 2 2 6 4" xfId="11348" xr:uid="{64BFEC48-F5A1-4002-9A10-D90AC7B426DE}"/>
    <cellStyle name="40% - Accent5 2 2 7" xfId="2346" xr:uid="{00000000-0005-0000-0000-000068060000}"/>
    <cellStyle name="40% - Accent5 2 2 7 2" xfId="6652" xr:uid="{00000000-0005-0000-0000-000069060000}"/>
    <cellStyle name="40% - Accent5 2 2 7 2 2" xfId="15978" xr:uid="{020391E8-507D-45AD-8E9C-E2E0243DE270}"/>
    <cellStyle name="40% - Accent5 2 2 7 3" xfId="11761" xr:uid="{C76EFFD5-D3D5-4CC6-837F-942F5FAF2133}"/>
    <cellStyle name="40% - Accent5 2 2 8" xfId="4586" xr:uid="{00000000-0005-0000-0000-00006A060000}"/>
    <cellStyle name="40% - Accent5 2 2 8 2" xfId="13912" xr:uid="{2C886523-11B5-450E-B81E-B0EFF37AA52A}"/>
    <cellStyle name="40% - Accent5 2 2 9" xfId="8905" xr:uid="{3B48B2AE-2C2B-47FB-A8F4-43FECCDBCFEF}"/>
    <cellStyle name="40% - Accent5 2 2 9 2" xfId="18229" xr:uid="{FE86DF5A-57B8-41E7-AD15-8FE6366C37A5}"/>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212B00B3-ACB5-431B-98F8-953D8C8B16D6}"/>
    <cellStyle name="40% - Accent5 2 3 2 2 3" xfId="12256" xr:uid="{00488355-983E-4D0D-B2A8-E0EED146C52F}"/>
    <cellStyle name="40% - Accent5 2 3 2 3" xfId="5002" xr:uid="{00000000-0005-0000-0000-00006F060000}"/>
    <cellStyle name="40% - Accent5 2 3 2 3 2" xfId="14328" xr:uid="{6A60B7BE-2872-45CA-BF7C-E387D6D62A89}"/>
    <cellStyle name="40% - Accent5 2 3 2 4" xfId="9434" xr:uid="{512EAA64-F150-4B15-8534-EB34D6D41408}"/>
    <cellStyle name="40% - Accent5 2 3 2 4 2" xfId="18749" xr:uid="{D7C1896F-7C27-445E-AB84-C698E0A2A70B}"/>
    <cellStyle name="40% - Accent5 2 3 2 5" xfId="10111" xr:uid="{5917CEA9-3BF0-4934-A809-5AB30DFFABCC}"/>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23117713-4670-4876-9C2E-D4E15719F6AF}"/>
    <cellStyle name="40% - Accent5 2 3 3 2 3" xfId="12669" xr:uid="{0CA709C9-44EE-4BA8-9A48-71088ADACB62}"/>
    <cellStyle name="40% - Accent5 2 3 3 3" xfId="5415" xr:uid="{00000000-0005-0000-0000-000073060000}"/>
    <cellStyle name="40% - Accent5 2 3 3 3 2" xfId="14741" xr:uid="{454819EB-7A08-44D3-A951-BD98ACBBDFC2}"/>
    <cellStyle name="40% - Accent5 2 3 3 4" xfId="10524" xr:uid="{2DDB964E-C7F7-4B52-ACA7-4C1BF72666B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F665863A-5215-419D-ADD9-6B29CBFB4917}"/>
    <cellStyle name="40% - Accent5 2 3 4 2 3" xfId="13082" xr:uid="{2E16223A-CA28-4A61-8031-CCB6B786FA5D}"/>
    <cellStyle name="40% - Accent5 2 3 4 3" xfId="5828" xr:uid="{00000000-0005-0000-0000-000077060000}"/>
    <cellStyle name="40% - Accent5 2 3 4 3 2" xfId="15154" xr:uid="{E8352707-0D7D-4A4F-945B-504FD428934A}"/>
    <cellStyle name="40% - Accent5 2 3 4 4" xfId="10937" xr:uid="{1EB58162-046B-4275-8F2C-584D1458501A}"/>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877F310E-B453-4E72-A358-994BE6C658C0}"/>
    <cellStyle name="40% - Accent5 2 3 5 2 3" xfId="13495" xr:uid="{80EBEDA1-476C-4006-99A6-5DFD381C2C6A}"/>
    <cellStyle name="40% - Accent5 2 3 5 3" xfId="6241" xr:uid="{00000000-0005-0000-0000-00007B060000}"/>
    <cellStyle name="40% - Accent5 2 3 5 3 2" xfId="15567" xr:uid="{C1ACC5D1-FAAB-4181-AD0B-347E2AB79DD8}"/>
    <cellStyle name="40% - Accent5 2 3 5 4" xfId="11350" xr:uid="{7DB3EA75-8268-4682-B6E0-9AFBE3B1AD52}"/>
    <cellStyle name="40% - Accent5 2 3 6" xfId="2348" xr:uid="{00000000-0005-0000-0000-00007C060000}"/>
    <cellStyle name="40% - Accent5 2 3 6 2" xfId="6654" xr:uid="{00000000-0005-0000-0000-00007D060000}"/>
    <cellStyle name="40% - Accent5 2 3 6 2 2" xfId="15980" xr:uid="{5B85EEB4-6E6E-498F-B487-AA2FCFB67B34}"/>
    <cellStyle name="40% - Accent5 2 3 6 3" xfId="11763" xr:uid="{21374D01-5EF8-41DD-B1AC-A8B7136B3C19}"/>
    <cellStyle name="40% - Accent5 2 3 7" xfId="4588" xr:uid="{00000000-0005-0000-0000-00007E060000}"/>
    <cellStyle name="40% - Accent5 2 3 7 2" xfId="13914" xr:uid="{D1F9418C-DBA3-46B0-BC48-1DAC34323AD9}"/>
    <cellStyle name="40% - Accent5 2 3 8" xfId="9009" xr:uid="{DE8B6E41-761F-4ED0-BA8A-00A6A898A2FC}"/>
    <cellStyle name="40% - Accent5 2 3 8 2" xfId="18333" xr:uid="{5710F62C-CAD2-4194-A55B-FDCAF4EA7217}"/>
    <cellStyle name="40% - Accent5 2 3 9" xfId="9697" xr:uid="{9F078C73-D154-4DE1-93E1-24607E82BD0C}"/>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1C16CDB6-E0FA-43D6-955C-A70F047892B7}"/>
    <cellStyle name="40% - Accent5 2 4 2 3" xfId="12253" xr:uid="{C7D313E4-1AFC-4C63-92A7-5E72A92EC52D}"/>
    <cellStyle name="40% - Accent5 2 4 3" xfId="4999" xr:uid="{00000000-0005-0000-0000-000082060000}"/>
    <cellStyle name="40% - Accent5 2 4 3 2" xfId="14325" xr:uid="{7A5E5515-AED1-4172-A3A8-BBD4E8C2C352}"/>
    <cellStyle name="40% - Accent5 2 4 4" xfId="9226" xr:uid="{6A688709-D29B-458C-973B-231279FAFEF5}"/>
    <cellStyle name="40% - Accent5 2 4 4 2" xfId="18542" xr:uid="{D69B5702-A5AC-4B97-965C-8B8C880F1C78}"/>
    <cellStyle name="40% - Accent5 2 4 5" xfId="10108" xr:uid="{A1473096-19FB-45AA-A1F6-CBCF286D4C07}"/>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50C202A9-3310-4F55-82B0-E9D8449D5F64}"/>
    <cellStyle name="40% - Accent5 2 5 2 3" xfId="12666" xr:uid="{B5EF7320-D73F-4845-A7A1-6A9014265056}"/>
    <cellStyle name="40% - Accent5 2 5 3" xfId="5412" xr:uid="{00000000-0005-0000-0000-000086060000}"/>
    <cellStyle name="40% - Accent5 2 5 3 2" xfId="14738" xr:uid="{AD25460A-E75B-4C80-B229-1EE54D66350E}"/>
    <cellStyle name="40% - Accent5 2 5 4" xfId="10521" xr:uid="{1965A4F1-5554-47E2-B3D3-74FC8478D76F}"/>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ABEE7DFE-2B17-4D98-8B9A-AC71F415B4D9}"/>
    <cellStyle name="40% - Accent5 2 6 2 3" xfId="13079" xr:uid="{CC2009D1-D56E-4665-8DE1-A52041803917}"/>
    <cellStyle name="40% - Accent5 2 6 3" xfId="5825" xr:uid="{00000000-0005-0000-0000-00008A060000}"/>
    <cellStyle name="40% - Accent5 2 6 3 2" xfId="15151" xr:uid="{AEC50EC0-6566-4A75-8451-0326A5504BCD}"/>
    <cellStyle name="40% - Accent5 2 6 4" xfId="10934" xr:uid="{0F538C19-84E4-44D2-BB53-C0EEB9D8D6B2}"/>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4B6D1D4D-6DEE-4291-A87E-6C78CF323FB0}"/>
    <cellStyle name="40% - Accent5 2 7 2 3" xfId="13492" xr:uid="{FC18B726-F418-4D87-8015-95C359AD910E}"/>
    <cellStyle name="40% - Accent5 2 7 3" xfId="6238" xr:uid="{00000000-0005-0000-0000-00008E060000}"/>
    <cellStyle name="40% - Accent5 2 7 3 2" xfId="15564" xr:uid="{D1949A74-98C2-4C13-A4D3-9E0DF2EE87EB}"/>
    <cellStyle name="40% - Accent5 2 7 4" xfId="11347" xr:uid="{9B6DBDEE-7D08-4964-9952-845DA413ED3A}"/>
    <cellStyle name="40% - Accent5 2 8" xfId="2345" xr:uid="{00000000-0005-0000-0000-00008F060000}"/>
    <cellStyle name="40% - Accent5 2 8 2" xfId="6651" xr:uid="{00000000-0005-0000-0000-000090060000}"/>
    <cellStyle name="40% - Accent5 2 8 2 2" xfId="15977" xr:uid="{A86EB58C-ACDB-4141-A5BD-067648B35342}"/>
    <cellStyle name="40% - Accent5 2 8 3" xfId="11760" xr:uid="{C07F1485-4162-44D3-BD31-A7A7F014EDB8}"/>
    <cellStyle name="40% - Accent5 2 9" xfId="4585" xr:uid="{00000000-0005-0000-0000-000091060000}"/>
    <cellStyle name="40% - Accent5 2 9 2" xfId="13911" xr:uid="{BA5650EF-57A8-4734-98D1-6763EE1C94EB}"/>
    <cellStyle name="40% - Accent5 3" xfId="86" xr:uid="{00000000-0005-0000-0000-000092060000}"/>
    <cellStyle name="40% - Accent5 3 10" xfId="9698" xr:uid="{9189B5C9-BA37-490D-ADBB-986D56E895C1}"/>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7B648773-D151-4B7E-934C-8AF2188AC014}"/>
    <cellStyle name="40% - Accent5 3 2 2 2 3" xfId="12258" xr:uid="{DBB8A53B-E440-4642-BB5D-2C56DD3DD90B}"/>
    <cellStyle name="40% - Accent5 3 2 2 3" xfId="5004" xr:uid="{00000000-0005-0000-0000-000097060000}"/>
    <cellStyle name="40% - Accent5 3 2 2 3 2" xfId="14330" xr:uid="{4A1717F2-D2C1-48F2-B2AD-84CB223152A9}"/>
    <cellStyle name="40% - Accent5 3 2 2 4" xfId="9502" xr:uid="{96903B0D-DCFE-4149-8088-461BCB03A73B}"/>
    <cellStyle name="40% - Accent5 3 2 2 4 2" xfId="18817" xr:uid="{A90D415A-8646-485E-AB85-96B0367F028D}"/>
    <cellStyle name="40% - Accent5 3 2 2 5" xfId="10113" xr:uid="{FEBD5923-1C02-48D2-BD65-63DCD597792F}"/>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FBBDA8B1-4D08-40BF-9314-EB5A59E88B89}"/>
    <cellStyle name="40% - Accent5 3 2 3 2 3" xfId="12671" xr:uid="{41671A66-C24B-41F6-AA0D-8B3BE2449896}"/>
    <cellStyle name="40% - Accent5 3 2 3 3" xfId="5417" xr:uid="{00000000-0005-0000-0000-00009B060000}"/>
    <cellStyle name="40% - Accent5 3 2 3 3 2" xfId="14743" xr:uid="{88BA58D3-91A3-42B5-A378-A1DDC0B37085}"/>
    <cellStyle name="40% - Accent5 3 2 3 4" xfId="10526" xr:uid="{197A0968-B6AD-4355-8B4A-5FB0CE09013B}"/>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B06F6C8B-F8AA-4389-B554-D8C46841568F}"/>
    <cellStyle name="40% - Accent5 3 2 4 2 3" xfId="13084" xr:uid="{3F5B3FEF-1F11-40C6-AD84-F606154CCF4B}"/>
    <cellStyle name="40% - Accent5 3 2 4 3" xfId="5830" xr:uid="{00000000-0005-0000-0000-00009F060000}"/>
    <cellStyle name="40% - Accent5 3 2 4 3 2" xfId="15156" xr:uid="{6246DDFE-A744-4D16-94A5-0657A5D1F830}"/>
    <cellStyle name="40% - Accent5 3 2 4 4" xfId="10939" xr:uid="{48A96AF4-A748-44F4-B240-646D35B8D5A3}"/>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EB2576D6-C5CD-4C1D-83AD-A52393FB947F}"/>
    <cellStyle name="40% - Accent5 3 2 5 2 3" xfId="13497" xr:uid="{4E3DE0E7-C8E2-4A4D-BA2F-AC9EB5523DFB}"/>
    <cellStyle name="40% - Accent5 3 2 5 3" xfId="6243" xr:uid="{00000000-0005-0000-0000-0000A3060000}"/>
    <cellStyle name="40% - Accent5 3 2 5 3 2" xfId="15569" xr:uid="{8982B400-9BDC-411F-9D98-F6072DED7A4B}"/>
    <cellStyle name="40% - Accent5 3 2 5 4" xfId="11352" xr:uid="{D0508E6A-6E97-4903-8BB4-19796719AFED}"/>
    <cellStyle name="40% - Accent5 3 2 6" xfId="2350" xr:uid="{00000000-0005-0000-0000-0000A4060000}"/>
    <cellStyle name="40% - Accent5 3 2 6 2" xfId="6656" xr:uid="{00000000-0005-0000-0000-0000A5060000}"/>
    <cellStyle name="40% - Accent5 3 2 6 2 2" xfId="15982" xr:uid="{7E12FCC3-2424-4DC2-87D1-45A2FC2EAF57}"/>
    <cellStyle name="40% - Accent5 3 2 6 3" xfId="11765" xr:uid="{F7F57FF2-F080-4CEE-ADD6-C64D2769B285}"/>
    <cellStyle name="40% - Accent5 3 2 7" xfId="4590" xr:uid="{00000000-0005-0000-0000-0000A6060000}"/>
    <cellStyle name="40% - Accent5 3 2 7 2" xfId="13916" xr:uid="{191EE8DB-72EB-476E-BB2F-BBC76A3F516F}"/>
    <cellStyle name="40% - Accent5 3 2 8" xfId="9077" xr:uid="{8842DD15-54E4-487D-B492-3A505722387C}"/>
    <cellStyle name="40% - Accent5 3 2 8 2" xfId="18401" xr:uid="{A1CCE990-0B3C-4BA6-BC99-2A1A58FD3B9D}"/>
    <cellStyle name="40% - Accent5 3 2 9" xfId="9699" xr:uid="{9A105217-B4EE-4AA9-8176-72A4B8CE135E}"/>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F455FFBA-A2A2-4EF5-8CFE-DD31DA1529B0}"/>
    <cellStyle name="40% - Accent5 3 3 2 3" xfId="12257" xr:uid="{B224E247-0DE1-4C9C-A7FF-9CDFCA14B986}"/>
    <cellStyle name="40% - Accent5 3 3 3" xfId="5003" xr:uid="{00000000-0005-0000-0000-0000AA060000}"/>
    <cellStyle name="40% - Accent5 3 3 3 2" xfId="14329" xr:uid="{E31F9D8F-ED3C-4690-9565-B71DA840192C}"/>
    <cellStyle name="40% - Accent5 3 3 4" xfId="9295" xr:uid="{0D42C89E-252E-426A-8E1F-7D3AD6B9FE55}"/>
    <cellStyle name="40% - Accent5 3 3 4 2" xfId="18610" xr:uid="{3F0D9E79-48A1-4060-9A41-3418705A4433}"/>
    <cellStyle name="40% - Accent5 3 3 5" xfId="10112" xr:uid="{2550F753-6666-492C-B381-5762F588B39E}"/>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F8C3D82E-9803-4C69-8C8C-8F7B215FFBAA}"/>
    <cellStyle name="40% - Accent5 3 4 2 3" xfId="12670" xr:uid="{C57F9746-E509-4803-9CD3-B8C143F463C3}"/>
    <cellStyle name="40% - Accent5 3 4 3" xfId="5416" xr:uid="{00000000-0005-0000-0000-0000AE060000}"/>
    <cellStyle name="40% - Accent5 3 4 3 2" xfId="14742" xr:uid="{3CE3DD43-BB67-466F-88E9-D04D0511F55D}"/>
    <cellStyle name="40% - Accent5 3 4 4" xfId="10525" xr:uid="{40D5E50E-C669-4EF4-87CD-9304DC828443}"/>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7933DC66-AEEC-4493-B731-83397A52BEC2}"/>
    <cellStyle name="40% - Accent5 3 5 2 3" xfId="13083" xr:uid="{8445BBF8-716B-4BA3-8FF5-1587688C963C}"/>
    <cellStyle name="40% - Accent5 3 5 3" xfId="5829" xr:uid="{00000000-0005-0000-0000-0000B2060000}"/>
    <cellStyle name="40% - Accent5 3 5 3 2" xfId="15155" xr:uid="{34ADF1AB-F848-4C14-A182-A845A72AB9E0}"/>
    <cellStyle name="40% - Accent5 3 5 4" xfId="10938" xr:uid="{C49BB1DB-F215-4C61-AD6F-862499910A10}"/>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84D93226-8F7B-420E-9DC6-CFA9B42675D8}"/>
    <cellStyle name="40% - Accent5 3 6 2 3" xfId="13496" xr:uid="{29D129D9-5547-4BF1-90AD-3F260A7AFE38}"/>
    <cellStyle name="40% - Accent5 3 6 3" xfId="6242" xr:uid="{00000000-0005-0000-0000-0000B6060000}"/>
    <cellStyle name="40% - Accent5 3 6 3 2" xfId="15568" xr:uid="{5DF3467C-F9A0-4248-B5FA-BA50C2DA363A}"/>
    <cellStyle name="40% - Accent5 3 6 4" xfId="11351" xr:uid="{6D96CDCC-6A14-4C4C-B0B6-3AFA83BFEEE2}"/>
    <cellStyle name="40% - Accent5 3 7" xfId="2349" xr:uid="{00000000-0005-0000-0000-0000B7060000}"/>
    <cellStyle name="40% - Accent5 3 7 2" xfId="6655" xr:uid="{00000000-0005-0000-0000-0000B8060000}"/>
    <cellStyle name="40% - Accent5 3 7 2 2" xfId="15981" xr:uid="{2AECA1C7-03C1-4BB3-B262-BF401C0068E0}"/>
    <cellStyle name="40% - Accent5 3 7 3" xfId="11764" xr:uid="{C119C510-E79A-4E1D-9406-F0FD868F3D93}"/>
    <cellStyle name="40% - Accent5 3 8" xfId="4589" xr:uid="{00000000-0005-0000-0000-0000B9060000}"/>
    <cellStyle name="40% - Accent5 3 8 2" xfId="13915" xr:uid="{8A4BC019-3239-4E75-9FAD-705FD5E647AF}"/>
    <cellStyle name="40% - Accent5 3 9" xfId="8870" xr:uid="{F7DB5D96-1272-4D48-B3B6-48053CFCBA44}"/>
    <cellStyle name="40% - Accent5 3 9 2" xfId="18194" xr:uid="{0465E72D-32EC-400F-8C0A-D66B104908B6}"/>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71671D87-9550-400A-BF8E-26822EF54E62}"/>
    <cellStyle name="40% - Accent5 4 2 2 3" xfId="12259" xr:uid="{EF6A31B5-4E39-48CA-B7CD-F385E4142D85}"/>
    <cellStyle name="40% - Accent5 4 2 3" xfId="5005" xr:uid="{00000000-0005-0000-0000-0000BE060000}"/>
    <cellStyle name="40% - Accent5 4 2 3 2" xfId="14331" xr:uid="{0663A59E-6A1E-4BD2-A6D7-7A96E6F4AA54}"/>
    <cellStyle name="40% - Accent5 4 2 4" xfId="9381" xr:uid="{6D86932C-AFC4-4FF0-967D-0F56E90E02E1}"/>
    <cellStyle name="40% - Accent5 4 2 4 2" xfId="18696" xr:uid="{96906825-0B58-42A7-856D-1C46A0AB272A}"/>
    <cellStyle name="40% - Accent5 4 2 5" xfId="10114" xr:uid="{7DDCC94A-C267-43EA-8108-8A92019246A4}"/>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3144F4E9-41D6-4432-8E76-FD9AB0E4A565}"/>
    <cellStyle name="40% - Accent5 4 3 2 3" xfId="12672" xr:uid="{D26054C6-EF4D-4C94-B05D-B198B57898A5}"/>
    <cellStyle name="40% - Accent5 4 3 3" xfId="5418" xr:uid="{00000000-0005-0000-0000-0000C2060000}"/>
    <cellStyle name="40% - Accent5 4 3 3 2" xfId="14744" xr:uid="{8265EE98-67BA-440C-BBE7-983AD5B932F4}"/>
    <cellStyle name="40% - Accent5 4 3 4" xfId="10527" xr:uid="{D2A50C5F-CF6C-4B3E-B206-59509B866B3B}"/>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FCC92B4B-7BF1-4CF4-AAA4-D573844D33FA}"/>
    <cellStyle name="40% - Accent5 4 4 2 3" xfId="13085" xr:uid="{2BCC229B-5654-43EB-87AE-DD521D305167}"/>
    <cellStyle name="40% - Accent5 4 4 3" xfId="5831" xr:uid="{00000000-0005-0000-0000-0000C6060000}"/>
    <cellStyle name="40% - Accent5 4 4 3 2" xfId="15157" xr:uid="{2A3B353A-2FA5-4D37-B487-41143C7D94E7}"/>
    <cellStyle name="40% - Accent5 4 4 4" xfId="10940" xr:uid="{D22DE3B8-A85C-41C5-AB96-3ACB0213ADAC}"/>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C8D001B0-6034-4949-B898-FD287F4582A6}"/>
    <cellStyle name="40% - Accent5 4 5 2 3" xfId="13498" xr:uid="{DC1B46FE-BD3E-43F8-9237-88073600DF8A}"/>
    <cellStyle name="40% - Accent5 4 5 3" xfId="6244" xr:uid="{00000000-0005-0000-0000-0000CA060000}"/>
    <cellStyle name="40% - Accent5 4 5 3 2" xfId="15570" xr:uid="{40F2530B-A63C-478A-935E-0D872159C027}"/>
    <cellStyle name="40% - Accent5 4 5 4" xfId="11353" xr:uid="{1E311B4D-6570-4BA8-8570-EF9BBF5880F6}"/>
    <cellStyle name="40% - Accent5 4 6" xfId="2351" xr:uid="{00000000-0005-0000-0000-0000CB060000}"/>
    <cellStyle name="40% - Accent5 4 6 2" xfId="6657" xr:uid="{00000000-0005-0000-0000-0000CC060000}"/>
    <cellStyle name="40% - Accent5 4 6 2 2" xfId="15983" xr:uid="{3B382F84-F555-4777-83CE-C550484EA921}"/>
    <cellStyle name="40% - Accent5 4 6 3" xfId="11766" xr:uid="{91325CC0-1192-4254-A891-C5E10B7E550B}"/>
    <cellStyle name="40% - Accent5 4 7" xfId="4591" xr:uid="{00000000-0005-0000-0000-0000CD060000}"/>
    <cellStyle name="40% - Accent5 4 7 2" xfId="13917" xr:uid="{3ABA5FD1-6C66-4174-83AD-3F3AD48BA9E6}"/>
    <cellStyle name="40% - Accent5 4 8" xfId="8956" xr:uid="{20EBAEFE-DF5E-4B38-878B-CDA5BD3DABC1}"/>
    <cellStyle name="40% - Accent5 4 8 2" xfId="18280" xr:uid="{8AF85597-A06F-4E83-8C24-11C49C16E162}"/>
    <cellStyle name="40% - Accent5 4 9" xfId="9700" xr:uid="{92529CCA-497E-4CF2-8258-784787ECC42B}"/>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4E65071E-A997-4345-BA90-3EF3253738A7}"/>
    <cellStyle name="40% - Accent5 5 2 3" xfId="12252" xr:uid="{9A6DC7DC-D003-4F22-B220-517098CF6A9F}"/>
    <cellStyle name="40% - Accent5 5 3" xfId="4998" xr:uid="{00000000-0005-0000-0000-0000D1060000}"/>
    <cellStyle name="40% - Accent5 5 3 2" xfId="14324" xr:uid="{F26FADEA-C0DF-4DE8-9931-CEF60A417120}"/>
    <cellStyle name="40% - Accent5 5 4" xfId="9189" xr:uid="{AE9A155E-B06B-4FF1-8984-8F7810581B15}"/>
    <cellStyle name="40% - Accent5 5 4 2" xfId="18507" xr:uid="{0FBEBCA3-68A6-4415-95FF-5931468212FA}"/>
    <cellStyle name="40% - Accent5 5 5" xfId="10107" xr:uid="{13DB3A6F-82CB-472C-AEF3-F35CA6B485A0}"/>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EE4E2728-6F8F-42D9-AE20-49901CC6534A}"/>
    <cellStyle name="40% - Accent5 6 2 3" xfId="12665" xr:uid="{B0AFC42D-7B28-4871-8DB4-22DE5E40F34C}"/>
    <cellStyle name="40% - Accent5 6 3" xfId="5411" xr:uid="{00000000-0005-0000-0000-0000D5060000}"/>
    <cellStyle name="40% - Accent5 6 3 2" xfId="14737" xr:uid="{A83C6251-0665-42CB-B946-6DB4DC5C3896}"/>
    <cellStyle name="40% - Accent5 6 4" xfId="10520" xr:uid="{B00B2366-8878-4E06-ACBF-F37FE9AD306A}"/>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839AB79C-1D17-4F90-AD11-BF1333B05A70}"/>
    <cellStyle name="40% - Accent5 7 2 3" xfId="13078" xr:uid="{5382D676-88DF-47D8-8C36-6DE4FAAA13F5}"/>
    <cellStyle name="40% - Accent5 7 3" xfId="5824" xr:uid="{00000000-0005-0000-0000-0000D9060000}"/>
    <cellStyle name="40% - Accent5 7 3 2" xfId="15150" xr:uid="{A46F0E3D-D5E6-4D26-9E11-86D50518FD86}"/>
    <cellStyle name="40% - Accent5 7 4" xfId="10933" xr:uid="{C66872CD-ECB5-412B-AD93-821A018B8FAC}"/>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41405BD7-88B3-47E5-A070-3F3B71BD0351}"/>
    <cellStyle name="40% - Accent5 8 2 3" xfId="13491" xr:uid="{9BB316C1-3C2B-43C1-93C9-1605C660BD92}"/>
    <cellStyle name="40% - Accent5 8 3" xfId="6237" xr:uid="{00000000-0005-0000-0000-0000DD060000}"/>
    <cellStyle name="40% - Accent5 8 3 2" xfId="15563" xr:uid="{58C3D54C-08E2-40DA-AF7F-72850FF31187}"/>
    <cellStyle name="40% - Accent5 8 4" xfId="11346" xr:uid="{F391AA8E-FB7B-402B-B75F-CEC4DA945D92}"/>
    <cellStyle name="40% - Accent5 9" xfId="2344" xr:uid="{00000000-0005-0000-0000-0000DE060000}"/>
    <cellStyle name="40% - Accent5 9 2" xfId="6650" xr:uid="{00000000-0005-0000-0000-0000DF060000}"/>
    <cellStyle name="40% - Accent5 9 2 2" xfId="15976" xr:uid="{627D5C2E-98F7-4D9B-AFB5-5564FDEA83EA}"/>
    <cellStyle name="40% - Accent5 9 3" xfId="11759" xr:uid="{FE8C9FDD-5E0B-44F2-8F54-740316A01ABB}"/>
    <cellStyle name="40% - Accent6" xfId="89" builtinId="51" customBuiltin="1"/>
    <cellStyle name="40% - Accent6 10" xfId="4592" xr:uid="{00000000-0005-0000-0000-0000E1060000}"/>
    <cellStyle name="40% - Accent6 10 2" xfId="13918" xr:uid="{0BC990DE-8294-4065-B2A3-A5F6FC4AE77D}"/>
    <cellStyle name="40% - Accent6 11" xfId="8769" xr:uid="{8369FE49-3815-490F-BF3A-3BEB88E35DFA}"/>
    <cellStyle name="40% - Accent6 11 2" xfId="18093" xr:uid="{D19F96A4-421D-4DF3-B147-204F332AA9DE}"/>
    <cellStyle name="40% - Accent6 12" xfId="9701" xr:uid="{B2D8C7AB-5A5A-4E96-B67D-3A378AD2C67E}"/>
    <cellStyle name="40% - Accent6 2" xfId="90" xr:uid="{00000000-0005-0000-0000-0000E2060000}"/>
    <cellStyle name="40% - Accent6 2 10" xfId="8803" xr:uid="{3530B69D-EB1D-41EA-A6FB-440FE4FE29AB}"/>
    <cellStyle name="40% - Accent6 2 10 2" xfId="18127" xr:uid="{0A4F726C-41B9-4E85-BEB1-ED3215EAA314}"/>
    <cellStyle name="40% - Accent6 2 11" xfId="9702" xr:uid="{C86E1908-53E5-4561-BCA2-2BB1A2E67942}"/>
    <cellStyle name="40% - Accent6 2 2" xfId="91" xr:uid="{00000000-0005-0000-0000-0000E3060000}"/>
    <cellStyle name="40% - Accent6 2 2 10" xfId="9703" xr:uid="{53331FE9-BAB0-4195-80DA-8C7179F26E4C}"/>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D4EBE8CF-1F90-41E3-9605-F18C0BD0A708}"/>
    <cellStyle name="40% - Accent6 2 2 2 2 2 3" xfId="12263" xr:uid="{C2C37E75-13A9-4C57-9D6F-FB0146FFF840}"/>
    <cellStyle name="40% - Accent6 2 2 2 2 3" xfId="5009" xr:uid="{00000000-0005-0000-0000-0000E8060000}"/>
    <cellStyle name="40% - Accent6 2 2 2 2 3 2" xfId="14335" xr:uid="{4ED426E1-6FA5-4DA6-9F06-8B65E1519F52}"/>
    <cellStyle name="40% - Accent6 2 2 2 2 4" xfId="9538" xr:uid="{D1801D0B-FDF1-4C59-8DE2-DEC53081BC5D}"/>
    <cellStyle name="40% - Accent6 2 2 2 2 4 2" xfId="18853" xr:uid="{BCCFFCD7-6364-4B8B-951E-3540FF2391D9}"/>
    <cellStyle name="40% - Accent6 2 2 2 2 5" xfId="10118" xr:uid="{0CC50D03-0FE3-4CDA-9D75-09271BB6C79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741C41F2-F41D-4911-B57B-4B3CB79370D3}"/>
    <cellStyle name="40% - Accent6 2 2 2 3 2 3" xfId="12676" xr:uid="{5DFE4407-6381-4463-91B4-48318D0BC019}"/>
    <cellStyle name="40% - Accent6 2 2 2 3 3" xfId="5422" xr:uid="{00000000-0005-0000-0000-0000EC060000}"/>
    <cellStyle name="40% - Accent6 2 2 2 3 3 2" xfId="14748" xr:uid="{853F4C05-D8ED-40B0-8A65-DE2C2BBEF567}"/>
    <cellStyle name="40% - Accent6 2 2 2 3 4" xfId="10531" xr:uid="{16A5F521-B189-486E-BCE0-7FAB1C9E55B2}"/>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39A89086-10B3-4224-A04A-4261FB0C0A73}"/>
    <cellStyle name="40% - Accent6 2 2 2 4 2 3" xfId="13089" xr:uid="{522D29D8-EDCC-4F19-A73A-1E444A30887B}"/>
    <cellStyle name="40% - Accent6 2 2 2 4 3" xfId="5835" xr:uid="{00000000-0005-0000-0000-0000F0060000}"/>
    <cellStyle name="40% - Accent6 2 2 2 4 3 2" xfId="15161" xr:uid="{12D1D27A-5FF2-4926-A4B9-E806B7AC171B}"/>
    <cellStyle name="40% - Accent6 2 2 2 4 4" xfId="10944" xr:uid="{6527E416-26EC-4F25-B937-B558FBC1D75F}"/>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D4A71065-8796-4AB2-8251-AA1DC9577320}"/>
    <cellStyle name="40% - Accent6 2 2 2 5 2 3" xfId="13502" xr:uid="{F67BA19D-8B93-4C24-933B-06EB8E7BDBD7}"/>
    <cellStyle name="40% - Accent6 2 2 2 5 3" xfId="6248" xr:uid="{00000000-0005-0000-0000-0000F4060000}"/>
    <cellStyle name="40% - Accent6 2 2 2 5 3 2" xfId="15574" xr:uid="{AFEE0B91-E59B-48F0-A13E-2A83E7DB520C}"/>
    <cellStyle name="40% - Accent6 2 2 2 5 4" xfId="11357" xr:uid="{1FACF500-44E7-40B6-9669-EA9584277E34}"/>
    <cellStyle name="40% - Accent6 2 2 2 6" xfId="2355" xr:uid="{00000000-0005-0000-0000-0000F5060000}"/>
    <cellStyle name="40% - Accent6 2 2 2 6 2" xfId="6661" xr:uid="{00000000-0005-0000-0000-0000F6060000}"/>
    <cellStyle name="40% - Accent6 2 2 2 6 2 2" xfId="15987" xr:uid="{AA78BDFF-1C5E-4F42-801A-EABB1D1F8E1F}"/>
    <cellStyle name="40% - Accent6 2 2 2 6 3" xfId="11770" xr:uid="{E7AA44EB-2EFE-43F6-AC9C-5126F7E17474}"/>
    <cellStyle name="40% - Accent6 2 2 2 7" xfId="4595" xr:uid="{00000000-0005-0000-0000-0000F7060000}"/>
    <cellStyle name="40% - Accent6 2 2 2 7 2" xfId="13921" xr:uid="{8F408E85-D7C9-4D87-80BE-DB01DB8FD93D}"/>
    <cellStyle name="40% - Accent6 2 2 2 8" xfId="9113" xr:uid="{D9373B4A-E1DA-437A-874A-FCE4D00708EB}"/>
    <cellStyle name="40% - Accent6 2 2 2 8 2" xfId="18437" xr:uid="{BA52571E-1929-48B5-A498-E704D32C5E50}"/>
    <cellStyle name="40% - Accent6 2 2 2 9" xfId="9704" xr:uid="{A394F44C-9D9D-44E1-BECC-028AADEB8823}"/>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B27DF5CD-12AA-4190-9C83-00B040D88832}"/>
    <cellStyle name="40% - Accent6 2 2 3 2 3" xfId="12262" xr:uid="{4F903BB1-F698-475B-9AEC-42AE8CA914A2}"/>
    <cellStyle name="40% - Accent6 2 2 3 3" xfId="5008" xr:uid="{00000000-0005-0000-0000-0000FB060000}"/>
    <cellStyle name="40% - Accent6 2 2 3 3 2" xfId="14334" xr:uid="{56CDE328-60CC-4B64-B7AC-7A7D0CA40F45}"/>
    <cellStyle name="40% - Accent6 2 2 3 4" xfId="9331" xr:uid="{223B62DA-AA8A-4703-B6D5-D6AA8918B034}"/>
    <cellStyle name="40% - Accent6 2 2 3 4 2" xfId="18646" xr:uid="{D8E94C04-A08C-40C3-82FC-2221A4558DDF}"/>
    <cellStyle name="40% - Accent6 2 2 3 5" xfId="10117" xr:uid="{03DF3F71-6452-4C51-83A3-776A1227F2F6}"/>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E502B2FF-DB50-4D79-BFC4-A355BE473D15}"/>
    <cellStyle name="40% - Accent6 2 2 4 2 3" xfId="12675" xr:uid="{B54782E3-40EC-4A65-B5AD-1A69F8CD424B}"/>
    <cellStyle name="40% - Accent6 2 2 4 3" xfId="5421" xr:uid="{00000000-0005-0000-0000-0000FF060000}"/>
    <cellStyle name="40% - Accent6 2 2 4 3 2" xfId="14747" xr:uid="{EDD476C3-6A2B-40B8-889E-D0C77C04938C}"/>
    <cellStyle name="40% - Accent6 2 2 4 4" xfId="10530" xr:uid="{96A768FA-71D0-4136-BA58-DFB81D144CC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29085E3-2A7B-4CCE-9AC0-9A4C9A658F90}"/>
    <cellStyle name="40% - Accent6 2 2 5 2 3" xfId="13088" xr:uid="{B0D59CD7-3EBC-4696-9C6D-DB17E126A575}"/>
    <cellStyle name="40% - Accent6 2 2 5 3" xfId="5834" xr:uid="{00000000-0005-0000-0000-000003070000}"/>
    <cellStyle name="40% - Accent6 2 2 5 3 2" xfId="15160" xr:uid="{2385C4C4-E35A-4DC7-8C24-C148D523FBE2}"/>
    <cellStyle name="40% - Accent6 2 2 5 4" xfId="10943" xr:uid="{74717424-D8DB-4777-818A-2D177810BB7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E97D90BB-4E84-430C-B3E4-8CC78BA93200}"/>
    <cellStyle name="40% - Accent6 2 2 6 2 3" xfId="13501" xr:uid="{917B1852-9287-4F12-A6EF-9CF3EA552AE8}"/>
    <cellStyle name="40% - Accent6 2 2 6 3" xfId="6247" xr:uid="{00000000-0005-0000-0000-000007070000}"/>
    <cellStyle name="40% - Accent6 2 2 6 3 2" xfId="15573" xr:uid="{70050DCF-6C58-4E1E-8379-6014B93ABFC3}"/>
    <cellStyle name="40% - Accent6 2 2 6 4" xfId="11356" xr:uid="{7EFF7A0A-4A92-45C5-933C-0EA66A41A9CD}"/>
    <cellStyle name="40% - Accent6 2 2 7" xfId="2354" xr:uid="{00000000-0005-0000-0000-000008070000}"/>
    <cellStyle name="40% - Accent6 2 2 7 2" xfId="6660" xr:uid="{00000000-0005-0000-0000-000009070000}"/>
    <cellStyle name="40% - Accent6 2 2 7 2 2" xfId="15986" xr:uid="{4FDC7718-B56C-4CB7-9A49-71107F496A80}"/>
    <cellStyle name="40% - Accent6 2 2 7 3" xfId="11769" xr:uid="{5940D178-7CBB-4C27-8451-4693D03AA3F0}"/>
    <cellStyle name="40% - Accent6 2 2 8" xfId="4594" xr:uid="{00000000-0005-0000-0000-00000A070000}"/>
    <cellStyle name="40% - Accent6 2 2 8 2" xfId="13920" xr:uid="{0D4D8EC3-FB05-4BD8-891F-19B77C71642F}"/>
    <cellStyle name="40% - Accent6 2 2 9" xfId="8906" xr:uid="{C30FCA09-BA1A-4F54-9397-4FC676425C46}"/>
    <cellStyle name="40% - Accent6 2 2 9 2" xfId="18230" xr:uid="{10E58AFD-3333-4413-83DD-39C89E843458}"/>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B51E4E2D-2B71-4D62-A485-752CD1A52965}"/>
    <cellStyle name="40% - Accent6 2 3 2 2 3" xfId="12264" xr:uid="{761E0EE8-11C8-481D-B5D9-EA93014C7D1D}"/>
    <cellStyle name="40% - Accent6 2 3 2 3" xfId="5010" xr:uid="{00000000-0005-0000-0000-00000F070000}"/>
    <cellStyle name="40% - Accent6 2 3 2 3 2" xfId="14336" xr:uid="{4E1A1E0C-2CE0-41E9-97FE-884CD091E955}"/>
    <cellStyle name="40% - Accent6 2 3 2 4" xfId="9435" xr:uid="{36535681-1736-4584-8CB6-F8F38C9E0E5B}"/>
    <cellStyle name="40% - Accent6 2 3 2 4 2" xfId="18750" xr:uid="{29715184-6120-4176-9581-CE18F3013B28}"/>
    <cellStyle name="40% - Accent6 2 3 2 5" xfId="10119" xr:uid="{40D8B8DC-ADC9-43BD-929D-592DE6CEF6C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D5BC8F20-1A66-4292-AAFB-2E88BF747A45}"/>
    <cellStyle name="40% - Accent6 2 3 3 2 3" xfId="12677" xr:uid="{BAEA1A44-8B99-4EBB-9863-A2950CCEFA7E}"/>
    <cellStyle name="40% - Accent6 2 3 3 3" xfId="5423" xr:uid="{00000000-0005-0000-0000-000013070000}"/>
    <cellStyle name="40% - Accent6 2 3 3 3 2" xfId="14749" xr:uid="{98B2D09C-4F38-466F-8437-5ADA627CE024}"/>
    <cellStyle name="40% - Accent6 2 3 3 4" xfId="10532" xr:uid="{DFB0E3BD-F0F0-44A7-9272-BCD869F74BB0}"/>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DD45337D-9FA8-4A07-9E7D-CE2D8CCA1A7E}"/>
    <cellStyle name="40% - Accent6 2 3 4 2 3" xfId="13090" xr:uid="{1218ACE1-4EDA-494B-908F-17A960E3BB10}"/>
    <cellStyle name="40% - Accent6 2 3 4 3" xfId="5836" xr:uid="{00000000-0005-0000-0000-000017070000}"/>
    <cellStyle name="40% - Accent6 2 3 4 3 2" xfId="15162" xr:uid="{D1E84B3A-B4BD-4E01-A96A-657636174F2A}"/>
    <cellStyle name="40% - Accent6 2 3 4 4" xfId="10945" xr:uid="{381D5C31-85A0-473C-BFAC-665CC1D0352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1932B20D-773A-4B48-9CFB-82EE4A6AC2D8}"/>
    <cellStyle name="40% - Accent6 2 3 5 2 3" xfId="13503" xr:uid="{862BA148-1891-4229-98A3-C35A6A54908D}"/>
    <cellStyle name="40% - Accent6 2 3 5 3" xfId="6249" xr:uid="{00000000-0005-0000-0000-00001B070000}"/>
    <cellStyle name="40% - Accent6 2 3 5 3 2" xfId="15575" xr:uid="{09513406-6EE0-47C2-BED4-7AF92123EA20}"/>
    <cellStyle name="40% - Accent6 2 3 5 4" xfId="11358" xr:uid="{EABA2364-8B75-436E-8318-61D42BA457E2}"/>
    <cellStyle name="40% - Accent6 2 3 6" xfId="2356" xr:uid="{00000000-0005-0000-0000-00001C070000}"/>
    <cellStyle name="40% - Accent6 2 3 6 2" xfId="6662" xr:uid="{00000000-0005-0000-0000-00001D070000}"/>
    <cellStyle name="40% - Accent6 2 3 6 2 2" xfId="15988" xr:uid="{EA46494F-E438-4060-8F47-FCABE2CE5AD3}"/>
    <cellStyle name="40% - Accent6 2 3 6 3" xfId="11771" xr:uid="{11CBB5DC-7757-414F-A55F-EE0C6F50DF91}"/>
    <cellStyle name="40% - Accent6 2 3 7" xfId="4596" xr:uid="{00000000-0005-0000-0000-00001E070000}"/>
    <cellStyle name="40% - Accent6 2 3 7 2" xfId="13922" xr:uid="{77198692-040C-499A-ADFF-64BB602AEC6F}"/>
    <cellStyle name="40% - Accent6 2 3 8" xfId="9010" xr:uid="{63E1B5F8-FE5F-441F-B768-94B1D98CB2B1}"/>
    <cellStyle name="40% - Accent6 2 3 8 2" xfId="18334" xr:uid="{371A8556-FD79-479F-BDF8-47816A46837B}"/>
    <cellStyle name="40% - Accent6 2 3 9" xfId="9705" xr:uid="{BD294CCE-711B-41E4-8BFC-DEE70DA6D47D}"/>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F4C1F56A-9D42-444D-834B-BC202D041B7D}"/>
    <cellStyle name="40% - Accent6 2 4 2 3" xfId="12261" xr:uid="{6AA9B0CB-5735-451A-9C79-EA40298CD6CE}"/>
    <cellStyle name="40% - Accent6 2 4 3" xfId="5007" xr:uid="{00000000-0005-0000-0000-000022070000}"/>
    <cellStyle name="40% - Accent6 2 4 3 2" xfId="14333" xr:uid="{3C6B718B-855C-4ED6-8BCC-67840566C66C}"/>
    <cellStyle name="40% - Accent6 2 4 4" xfId="9227" xr:uid="{61BC3AC1-FAE9-47DF-8143-7EECE05FF8D3}"/>
    <cellStyle name="40% - Accent6 2 4 4 2" xfId="18543" xr:uid="{D88A9A90-12E5-4DBB-BC10-25958B5D1368}"/>
    <cellStyle name="40% - Accent6 2 4 5" xfId="10116" xr:uid="{90645EC5-4708-4C33-8E5C-731F08D61989}"/>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3CBD839E-612D-4D95-B5B2-CFF0868E8CBA}"/>
    <cellStyle name="40% - Accent6 2 5 2 3" xfId="12674" xr:uid="{03315A61-CD88-4902-A015-34B57BF6950A}"/>
    <cellStyle name="40% - Accent6 2 5 3" xfId="5420" xr:uid="{00000000-0005-0000-0000-000026070000}"/>
    <cellStyle name="40% - Accent6 2 5 3 2" xfId="14746" xr:uid="{0D093A02-9008-44F1-9405-88B5F2345E5A}"/>
    <cellStyle name="40% - Accent6 2 5 4" xfId="10529" xr:uid="{3D9E861B-FC63-4C86-B5FB-DCB502474E22}"/>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EA21C16C-9B9A-4E98-9ED4-7044A69B8905}"/>
    <cellStyle name="40% - Accent6 2 6 2 3" xfId="13087" xr:uid="{F5FDCA47-A198-4271-87AA-A842DE0D0168}"/>
    <cellStyle name="40% - Accent6 2 6 3" xfId="5833" xr:uid="{00000000-0005-0000-0000-00002A070000}"/>
    <cellStyle name="40% - Accent6 2 6 3 2" xfId="15159" xr:uid="{3A4C1A39-3236-419E-A443-5C46D7FFE790}"/>
    <cellStyle name="40% - Accent6 2 6 4" xfId="10942" xr:uid="{092DF289-E66A-4125-9040-91046235472C}"/>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E7EF7C7B-2180-4F6F-968E-8341439B6099}"/>
    <cellStyle name="40% - Accent6 2 7 2 3" xfId="13500" xr:uid="{2DEBD659-6BE5-481B-86F1-6641BCA62C5A}"/>
    <cellStyle name="40% - Accent6 2 7 3" xfId="6246" xr:uid="{00000000-0005-0000-0000-00002E070000}"/>
    <cellStyle name="40% - Accent6 2 7 3 2" xfId="15572" xr:uid="{37DE1E1C-6B5E-4397-82F2-05E9DBE20F65}"/>
    <cellStyle name="40% - Accent6 2 7 4" xfId="11355" xr:uid="{35F200CB-9CCE-451D-8C2C-134C2516D475}"/>
    <cellStyle name="40% - Accent6 2 8" xfId="2353" xr:uid="{00000000-0005-0000-0000-00002F070000}"/>
    <cellStyle name="40% - Accent6 2 8 2" xfId="6659" xr:uid="{00000000-0005-0000-0000-000030070000}"/>
    <cellStyle name="40% - Accent6 2 8 2 2" xfId="15985" xr:uid="{150D3A05-EA3B-4B7C-9FD9-45D21E7F21BE}"/>
    <cellStyle name="40% - Accent6 2 8 3" xfId="11768" xr:uid="{8204DAA3-A7F8-4240-A23E-FD787513A360}"/>
    <cellStyle name="40% - Accent6 2 9" xfId="4593" xr:uid="{00000000-0005-0000-0000-000031070000}"/>
    <cellStyle name="40% - Accent6 2 9 2" xfId="13919" xr:uid="{A23EBEDC-5F17-46C2-A64E-3ADCF7B4F5E1}"/>
    <cellStyle name="40% - Accent6 3" xfId="94" xr:uid="{00000000-0005-0000-0000-000032070000}"/>
    <cellStyle name="40% - Accent6 3 10" xfId="9706" xr:uid="{A1322FEC-0574-46B9-95D7-6DE45C2E9063}"/>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6E3C9072-C2F0-4670-BBB3-6A6002CA5B4A}"/>
    <cellStyle name="40% - Accent6 3 2 2 2 3" xfId="12266" xr:uid="{06F18725-5D40-4234-93CC-A4C1CB68D906}"/>
    <cellStyle name="40% - Accent6 3 2 2 3" xfId="5012" xr:uid="{00000000-0005-0000-0000-000037070000}"/>
    <cellStyle name="40% - Accent6 3 2 2 3 2" xfId="14338" xr:uid="{78B2EAD7-17AA-4697-B34E-57D083BD9ABA}"/>
    <cellStyle name="40% - Accent6 3 2 2 4" xfId="9504" xr:uid="{23E46585-FD8F-4BA3-8B65-284D6884E4FD}"/>
    <cellStyle name="40% - Accent6 3 2 2 4 2" xfId="18819" xr:uid="{181ADEF4-A464-4977-86AD-D405D7D5D236}"/>
    <cellStyle name="40% - Accent6 3 2 2 5" xfId="10121" xr:uid="{353F11BA-500F-4DE0-A406-F285B2D9A1F8}"/>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FCE8B8A6-E376-4FAB-8F61-B12A06E6166F}"/>
    <cellStyle name="40% - Accent6 3 2 3 2 3" xfId="12679" xr:uid="{9F715742-6841-4999-B9B9-C0A0D4832891}"/>
    <cellStyle name="40% - Accent6 3 2 3 3" xfId="5425" xr:uid="{00000000-0005-0000-0000-00003B070000}"/>
    <cellStyle name="40% - Accent6 3 2 3 3 2" xfId="14751" xr:uid="{99331547-2FA4-49B6-A843-0F82AA627A67}"/>
    <cellStyle name="40% - Accent6 3 2 3 4" xfId="10534" xr:uid="{58CBBB2D-7297-42C1-B74B-50C932F3DAD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9126C175-0F2E-4140-A970-FDCFA2B73A6B}"/>
    <cellStyle name="40% - Accent6 3 2 4 2 3" xfId="13092" xr:uid="{64B16863-4196-43AA-85E2-6C943A0F00D0}"/>
    <cellStyle name="40% - Accent6 3 2 4 3" xfId="5838" xr:uid="{00000000-0005-0000-0000-00003F070000}"/>
    <cellStyle name="40% - Accent6 3 2 4 3 2" xfId="15164" xr:uid="{CF937864-5EC9-429F-9BE5-C66286209B9E}"/>
    <cellStyle name="40% - Accent6 3 2 4 4" xfId="10947" xr:uid="{083EAC00-2098-4FAC-9725-41983DABFEF1}"/>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CEF09E74-B665-4C01-91C3-F15628B96AB4}"/>
    <cellStyle name="40% - Accent6 3 2 5 2 3" xfId="13505" xr:uid="{6B09841C-8824-423C-B87E-3CB811C61E63}"/>
    <cellStyle name="40% - Accent6 3 2 5 3" xfId="6251" xr:uid="{00000000-0005-0000-0000-000043070000}"/>
    <cellStyle name="40% - Accent6 3 2 5 3 2" xfId="15577" xr:uid="{AF729A46-1B83-4354-A256-0C0165C6884C}"/>
    <cellStyle name="40% - Accent6 3 2 5 4" xfId="11360" xr:uid="{1D90585E-C2E0-4898-BEDF-1DD444BD080E}"/>
    <cellStyle name="40% - Accent6 3 2 6" xfId="2358" xr:uid="{00000000-0005-0000-0000-000044070000}"/>
    <cellStyle name="40% - Accent6 3 2 6 2" xfId="6664" xr:uid="{00000000-0005-0000-0000-000045070000}"/>
    <cellStyle name="40% - Accent6 3 2 6 2 2" xfId="15990" xr:uid="{E0837D26-DF84-4938-8FD8-DA358E49F408}"/>
    <cellStyle name="40% - Accent6 3 2 6 3" xfId="11773" xr:uid="{2D80253E-EDF1-4C87-A5C4-312B255876A9}"/>
    <cellStyle name="40% - Accent6 3 2 7" xfId="4598" xr:uid="{00000000-0005-0000-0000-000046070000}"/>
    <cellStyle name="40% - Accent6 3 2 7 2" xfId="13924" xr:uid="{26C9A633-F6FE-4EB1-902A-0D6799ADC7BF}"/>
    <cellStyle name="40% - Accent6 3 2 8" xfId="9079" xr:uid="{7FA93E2E-699F-4676-8533-A3CC5F80D807}"/>
    <cellStyle name="40% - Accent6 3 2 8 2" xfId="18403" xr:uid="{562F4E2A-A6A4-4A2F-8C1E-FE17E6881790}"/>
    <cellStyle name="40% - Accent6 3 2 9" xfId="9707" xr:uid="{7932BBB6-01E6-4E4F-B886-2DF78DEDD490}"/>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31E1A577-6E65-459E-A92F-9F0EEA4D3BDD}"/>
    <cellStyle name="40% - Accent6 3 3 2 3" xfId="12265" xr:uid="{F608E928-7AA8-438A-8CE2-0759048D9485}"/>
    <cellStyle name="40% - Accent6 3 3 3" xfId="5011" xr:uid="{00000000-0005-0000-0000-00004A070000}"/>
    <cellStyle name="40% - Accent6 3 3 3 2" xfId="14337" xr:uid="{CBC3D35A-E2C0-4915-B3C9-CA3D270CC751}"/>
    <cellStyle name="40% - Accent6 3 3 4" xfId="9297" xr:uid="{1226E28F-09E7-4580-8D19-7F14AC1CB4B3}"/>
    <cellStyle name="40% - Accent6 3 3 4 2" xfId="18612" xr:uid="{D726FAC4-879B-4DC4-A568-4D0B7DA254AD}"/>
    <cellStyle name="40% - Accent6 3 3 5" xfId="10120" xr:uid="{8869FEEE-146A-4109-AE02-A8A76D435C6B}"/>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80A4B49D-3A73-42B0-8EDF-1FBB0BE573ED}"/>
    <cellStyle name="40% - Accent6 3 4 2 3" xfId="12678" xr:uid="{FF15A4B8-05A5-4CC5-8FEA-8A1921333E42}"/>
    <cellStyle name="40% - Accent6 3 4 3" xfId="5424" xr:uid="{00000000-0005-0000-0000-00004E070000}"/>
    <cellStyle name="40% - Accent6 3 4 3 2" xfId="14750" xr:uid="{6FC3DFC4-D90A-43E9-B6AF-01ED4CFDCD29}"/>
    <cellStyle name="40% - Accent6 3 4 4" xfId="10533" xr:uid="{8429D31A-7D3F-437A-BB55-30DFBA3A9DE4}"/>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CACDBA53-0EF0-4930-9810-437E44D9B929}"/>
    <cellStyle name="40% - Accent6 3 5 2 3" xfId="13091" xr:uid="{25E63F7D-4068-410B-902E-B8746AD02654}"/>
    <cellStyle name="40% - Accent6 3 5 3" xfId="5837" xr:uid="{00000000-0005-0000-0000-000052070000}"/>
    <cellStyle name="40% - Accent6 3 5 3 2" xfId="15163" xr:uid="{4E0E9D42-BD6D-4E0A-9FA7-B2E2B9868E40}"/>
    <cellStyle name="40% - Accent6 3 5 4" xfId="10946" xr:uid="{8D7E4F4C-91A4-4F68-9352-F2111252E7FD}"/>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B372895B-F856-47E8-A40C-E1F30AA1079F}"/>
    <cellStyle name="40% - Accent6 3 6 2 3" xfId="13504" xr:uid="{969679F3-0867-4440-8834-58C8FB85CD08}"/>
    <cellStyle name="40% - Accent6 3 6 3" xfId="6250" xr:uid="{00000000-0005-0000-0000-000056070000}"/>
    <cellStyle name="40% - Accent6 3 6 3 2" xfId="15576" xr:uid="{9057C608-819E-45BC-8C95-930EA09DC0EA}"/>
    <cellStyle name="40% - Accent6 3 6 4" xfId="11359" xr:uid="{0A65F952-8609-4B9D-9BA6-77C0261F42E1}"/>
    <cellStyle name="40% - Accent6 3 7" xfId="2357" xr:uid="{00000000-0005-0000-0000-000057070000}"/>
    <cellStyle name="40% - Accent6 3 7 2" xfId="6663" xr:uid="{00000000-0005-0000-0000-000058070000}"/>
    <cellStyle name="40% - Accent6 3 7 2 2" xfId="15989" xr:uid="{1813E44A-B824-404D-A1C2-E657354AEC37}"/>
    <cellStyle name="40% - Accent6 3 7 3" xfId="11772" xr:uid="{880FC118-70A1-427B-BA83-F836AA94A674}"/>
    <cellStyle name="40% - Accent6 3 8" xfId="4597" xr:uid="{00000000-0005-0000-0000-000059070000}"/>
    <cellStyle name="40% - Accent6 3 8 2" xfId="13923" xr:uid="{16771F04-27EE-477C-9A6A-03B36ECF3A2C}"/>
    <cellStyle name="40% - Accent6 3 9" xfId="8872" xr:uid="{E018AF0F-504E-4DED-BF70-CC97997D74E9}"/>
    <cellStyle name="40% - Accent6 3 9 2" xfId="18196" xr:uid="{B725A45D-D97C-4539-B42A-254FC8F7D721}"/>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2C91F4E7-6CDE-48D4-8093-E09E913D8E2E}"/>
    <cellStyle name="40% - Accent6 4 2 2 3" xfId="12267" xr:uid="{0D96CF94-5802-40DB-BEB1-9C07559A15E7}"/>
    <cellStyle name="40% - Accent6 4 2 3" xfId="5013" xr:uid="{00000000-0005-0000-0000-00005E070000}"/>
    <cellStyle name="40% - Accent6 4 2 3 2" xfId="14339" xr:uid="{EC1FF9A4-A277-4320-8BBC-355167234654}"/>
    <cellStyle name="40% - Accent6 4 2 4" xfId="9383" xr:uid="{07C7426F-B517-4815-A0BF-2BAE02B26B53}"/>
    <cellStyle name="40% - Accent6 4 2 4 2" xfId="18698" xr:uid="{AAE77AD2-196D-4E8B-BD75-D559A34830D2}"/>
    <cellStyle name="40% - Accent6 4 2 5" xfId="10122" xr:uid="{2566CFEA-6DA7-4A7C-ABC2-A459F5F4EA8C}"/>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14141E73-7793-42F1-9CE8-7542064FD074}"/>
    <cellStyle name="40% - Accent6 4 3 2 3" xfId="12680" xr:uid="{5951DE81-6A4A-4119-B3EE-5CC435DE9A72}"/>
    <cellStyle name="40% - Accent6 4 3 3" xfId="5426" xr:uid="{00000000-0005-0000-0000-000062070000}"/>
    <cellStyle name="40% - Accent6 4 3 3 2" xfId="14752" xr:uid="{F1D068A8-8165-4CDA-9DCB-B3F743CA9CD0}"/>
    <cellStyle name="40% - Accent6 4 3 4" xfId="10535" xr:uid="{1C5AB7B5-5799-4B5A-A0FE-AFFC9422B233}"/>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BFF68AB2-EA07-4F06-91AE-B8EA738EB464}"/>
    <cellStyle name="40% - Accent6 4 4 2 3" xfId="13093" xr:uid="{B6ED4DE3-FCB3-4032-B94A-1DCB4ED02309}"/>
    <cellStyle name="40% - Accent6 4 4 3" xfId="5839" xr:uid="{00000000-0005-0000-0000-000066070000}"/>
    <cellStyle name="40% - Accent6 4 4 3 2" xfId="15165" xr:uid="{3801B11C-0C6F-4AE5-8EE4-9DA98F1FC0BB}"/>
    <cellStyle name="40% - Accent6 4 4 4" xfId="10948" xr:uid="{905109A7-AA72-429C-BA70-556A2BCBBC71}"/>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150DE569-01ED-470A-9467-EDE5CB5566A9}"/>
    <cellStyle name="40% - Accent6 4 5 2 3" xfId="13506" xr:uid="{819E4B00-DB1F-4C09-A616-166DE3307132}"/>
    <cellStyle name="40% - Accent6 4 5 3" xfId="6252" xr:uid="{00000000-0005-0000-0000-00006A070000}"/>
    <cellStyle name="40% - Accent6 4 5 3 2" xfId="15578" xr:uid="{7E8EFB1C-C4C7-4A2C-94C0-A871F83855C2}"/>
    <cellStyle name="40% - Accent6 4 5 4" xfId="11361" xr:uid="{6BA590DA-9FDA-4EF4-8177-275D0287C284}"/>
    <cellStyle name="40% - Accent6 4 6" xfId="2359" xr:uid="{00000000-0005-0000-0000-00006B070000}"/>
    <cellStyle name="40% - Accent6 4 6 2" xfId="6665" xr:uid="{00000000-0005-0000-0000-00006C070000}"/>
    <cellStyle name="40% - Accent6 4 6 2 2" xfId="15991" xr:uid="{DE1C9D33-9526-48C7-848C-38EE733D81BA}"/>
    <cellStyle name="40% - Accent6 4 6 3" xfId="11774" xr:uid="{3CA4F96E-E674-4195-BD12-5F29601328AC}"/>
    <cellStyle name="40% - Accent6 4 7" xfId="4599" xr:uid="{00000000-0005-0000-0000-00006D070000}"/>
    <cellStyle name="40% - Accent6 4 7 2" xfId="13925" xr:uid="{DD3F3931-8370-4106-B0B2-4EFF7CD96EF9}"/>
    <cellStyle name="40% - Accent6 4 8" xfId="8958" xr:uid="{058203D5-6D6D-4106-8D68-93F66B236239}"/>
    <cellStyle name="40% - Accent6 4 8 2" xfId="18282" xr:uid="{DFCFE0A0-8F96-4287-BE07-8E78E432E728}"/>
    <cellStyle name="40% - Accent6 4 9" xfId="9708" xr:uid="{8850A2AE-248F-408F-AD55-65444339D172}"/>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44CA8191-E89D-4D62-9393-65D8FD74E762}"/>
    <cellStyle name="40% - Accent6 5 2 3" xfId="12260" xr:uid="{CF6B666B-5BF5-43F9-BB00-33F71067F5A8}"/>
    <cellStyle name="40% - Accent6 5 3" xfId="5006" xr:uid="{00000000-0005-0000-0000-000071070000}"/>
    <cellStyle name="40% - Accent6 5 3 2" xfId="14332" xr:uid="{CC304BB1-F927-4B01-A8EA-289689A89351}"/>
    <cellStyle name="40% - Accent6 5 4" xfId="9192" xr:uid="{19661A88-B46A-4EF9-A9F3-4BCF8E242108}"/>
    <cellStyle name="40% - Accent6 5 4 2" xfId="18509" xr:uid="{FF7C55EE-1336-4FB1-83B9-6C34B69203EF}"/>
    <cellStyle name="40% - Accent6 5 5" xfId="10115" xr:uid="{400D367A-9658-4FFF-AC96-F10B929FDCA3}"/>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F0680675-254C-4354-BF9E-4133F9572B4D}"/>
    <cellStyle name="40% - Accent6 6 2 3" xfId="12673" xr:uid="{62B1FF0F-F619-44DF-A328-2EC628FCA64F}"/>
    <cellStyle name="40% - Accent6 6 3" xfId="5419" xr:uid="{00000000-0005-0000-0000-000075070000}"/>
    <cellStyle name="40% - Accent6 6 3 2" xfId="14745" xr:uid="{EC62E1DB-5BF1-45BE-B759-E72E07BBB7A0}"/>
    <cellStyle name="40% - Accent6 6 4" xfId="10528" xr:uid="{CB2D8A74-C21A-4005-9371-3506DBDA7394}"/>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1C5149E0-65A6-4995-B593-AC46ED3C5C38}"/>
    <cellStyle name="40% - Accent6 7 2 3" xfId="13086" xr:uid="{6FB41BAB-3B00-4BDF-84DE-BB72BDE56635}"/>
    <cellStyle name="40% - Accent6 7 3" xfId="5832" xr:uid="{00000000-0005-0000-0000-000079070000}"/>
    <cellStyle name="40% - Accent6 7 3 2" xfId="15158" xr:uid="{B03D443A-7E6F-44EA-B3EC-45FFAFCA81C3}"/>
    <cellStyle name="40% - Accent6 7 4" xfId="10941" xr:uid="{F106276D-2C63-4698-B426-F99A0BB59C66}"/>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1F8243CD-1059-4FD9-803E-992204138EAA}"/>
    <cellStyle name="40% - Accent6 8 2 3" xfId="13499" xr:uid="{C11C5F86-D1BF-4EF4-8E64-C91EF10B0274}"/>
    <cellStyle name="40% - Accent6 8 3" xfId="6245" xr:uid="{00000000-0005-0000-0000-00007D070000}"/>
    <cellStyle name="40% - Accent6 8 3 2" xfId="15571" xr:uid="{6B18611A-96B3-4B83-AA82-8B302826420E}"/>
    <cellStyle name="40% - Accent6 8 4" xfId="11354" xr:uid="{EE3F1B7F-1D72-44F9-8139-0B4786171AC1}"/>
    <cellStyle name="40% - Accent6 9" xfId="2352" xr:uid="{00000000-0005-0000-0000-00007E070000}"/>
    <cellStyle name="40% - Accent6 9 2" xfId="6658" xr:uid="{00000000-0005-0000-0000-00007F070000}"/>
    <cellStyle name="40% - Accent6 9 2 2" xfId="15984" xr:uid="{67DD35E9-C0F6-4753-B9C6-6E8F325C24F3}"/>
    <cellStyle name="40% - Accent6 9 3" xfId="11767" xr:uid="{DE126D46-A0CA-4718-A586-26C0774B4E7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B576D891-8479-4E68-9B7E-553E59F8BA7B}"/>
    <cellStyle name="Comma 4 2 2 2 10 3" xfId="12092" xr:uid="{988D1FDB-7A49-4C90-9DE0-EF17BC12A6D9}"/>
    <cellStyle name="Comma 4 2 2 2 11" xfId="4600" xr:uid="{00000000-0005-0000-0000-0000A3070000}"/>
    <cellStyle name="Comma 4 2 2 2 11 2" xfId="13926" xr:uid="{97A57755-1801-4E67-AD62-BFE8F1135457}"/>
    <cellStyle name="Comma 4 2 2 2 12" xfId="8806" xr:uid="{6C773D0B-D2E3-4A8C-B041-8DA2843B9E25}"/>
    <cellStyle name="Comma 4 2 2 2 12 2" xfId="18130" xr:uid="{AFA1DB62-0756-4D97-8CC8-BCFA6030A5ED}"/>
    <cellStyle name="Comma 4 2 2 2 13" xfId="9709" xr:uid="{D97912FA-6DCD-426E-A7C0-77C5F34142A9}"/>
    <cellStyle name="Comma 4 2 2 2 2" xfId="129" xr:uid="{00000000-0005-0000-0000-0000A4070000}"/>
    <cellStyle name="Comma 4 2 2 2 2 10" xfId="4601" xr:uid="{00000000-0005-0000-0000-0000A5070000}"/>
    <cellStyle name="Comma 4 2 2 2 2 10 2" xfId="13927" xr:uid="{114DAB09-D351-40B4-8AFC-38F9A53BCB65}"/>
    <cellStyle name="Comma 4 2 2 2 2 11" xfId="8909" xr:uid="{477FCE05-1F49-4658-A03C-A8A5E7983C47}"/>
    <cellStyle name="Comma 4 2 2 2 2 11 2" xfId="18233" xr:uid="{B1577873-534D-404A-AA0B-DFBF8B6C4ADE}"/>
    <cellStyle name="Comma 4 2 2 2 2 12" xfId="9710" xr:uid="{840A6415-2717-400A-9455-AA6D51F5B3EF}"/>
    <cellStyle name="Comma 4 2 2 2 2 2" xfId="130" xr:uid="{00000000-0005-0000-0000-0000A6070000}"/>
    <cellStyle name="Comma 4 2 2 2 2 2 10" xfId="9116" xr:uid="{7A07505D-6B4C-4086-90B5-B5D345FB7611}"/>
    <cellStyle name="Comma 4 2 2 2 2 2 10 2" xfId="18440" xr:uid="{AA4C843A-46B0-4199-AC35-40EAB287CD88}"/>
    <cellStyle name="Comma 4 2 2 2 2 2 11" xfId="9711" xr:uid="{8AD9FEA1-F439-4DB0-8F25-627B0BEAC873}"/>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7725252F-60CE-4F8B-9A7E-82762F5C9F52}"/>
    <cellStyle name="Comma 4 2 2 2 2 2 2 2 3" xfId="12270" xr:uid="{6F7F91FF-A709-4F53-8369-8C3BFCDD131C}"/>
    <cellStyle name="Comma 4 2 2 2 2 2 2 3" xfId="5016" xr:uid="{00000000-0005-0000-0000-0000AA070000}"/>
    <cellStyle name="Comma 4 2 2 2 2 2 2 3 2" xfId="14342" xr:uid="{02E3A1CE-6C4D-4712-B002-89623981FC2B}"/>
    <cellStyle name="Comma 4 2 2 2 2 2 2 4" xfId="9541" xr:uid="{21DC771E-83A2-48BA-BE40-3E9E8454DE28}"/>
    <cellStyle name="Comma 4 2 2 2 2 2 2 4 2" xfId="18856" xr:uid="{EE43E731-24CE-4B54-800B-1C70FDBA5456}"/>
    <cellStyle name="Comma 4 2 2 2 2 2 2 5" xfId="10125" xr:uid="{68E75F4F-73B8-465A-B7EB-3E8B166314A2}"/>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21561FF0-D8FC-44A9-A5F8-C84BEDEF6AE5}"/>
    <cellStyle name="Comma 4 2 2 2 2 2 3 2 3" xfId="12683" xr:uid="{D3E5AF8D-B6B4-41E2-B3F6-FCED3217F7D9}"/>
    <cellStyle name="Comma 4 2 2 2 2 2 3 3" xfId="5429" xr:uid="{00000000-0005-0000-0000-0000AE070000}"/>
    <cellStyle name="Comma 4 2 2 2 2 2 3 3 2" xfId="14755" xr:uid="{CDAF3544-BF70-4D2E-B8EF-F896EBF6355B}"/>
    <cellStyle name="Comma 4 2 2 2 2 2 3 4" xfId="10538" xr:uid="{B2BE0514-FC49-43DE-8F60-EA4CE2950388}"/>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AC49E76B-E9A9-4213-9D77-4BA09D18C8FB}"/>
    <cellStyle name="Comma 4 2 2 2 2 2 4 2 3" xfId="13096" xr:uid="{AB51532C-CED5-41BA-85C0-4E861F21BDD9}"/>
    <cellStyle name="Comma 4 2 2 2 2 2 4 3" xfId="5842" xr:uid="{00000000-0005-0000-0000-0000B2070000}"/>
    <cellStyle name="Comma 4 2 2 2 2 2 4 3 2" xfId="15168" xr:uid="{B92B4C6E-C86F-4E05-B1DE-A732D15B2D2F}"/>
    <cellStyle name="Comma 4 2 2 2 2 2 4 4" xfId="10951" xr:uid="{81F8C039-2E44-4832-A3B4-5684147590B8}"/>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686C24A6-E58F-46D8-8654-B58CBFB7F71C}"/>
    <cellStyle name="Comma 4 2 2 2 2 2 5 2 3" xfId="13509" xr:uid="{25B5958C-DB4C-4596-BE7B-53BC1EA4F1D6}"/>
    <cellStyle name="Comma 4 2 2 2 2 2 5 3" xfId="6255" xr:uid="{00000000-0005-0000-0000-0000B6070000}"/>
    <cellStyle name="Comma 4 2 2 2 2 2 5 3 2" xfId="15581" xr:uid="{F7CB3F4D-4C48-4AE7-B67F-D45450FB39A5}"/>
    <cellStyle name="Comma 4 2 2 2 2 2 5 4" xfId="11364" xr:uid="{FFA5ECE1-B4B0-4F36-9007-00687E5CA6B3}"/>
    <cellStyle name="Comma 4 2 2 2 2 2 6" xfId="2384" xr:uid="{00000000-0005-0000-0000-0000B7070000}"/>
    <cellStyle name="Comma 4 2 2 2 2 2 6 2" xfId="6668" xr:uid="{00000000-0005-0000-0000-0000B8070000}"/>
    <cellStyle name="Comma 4 2 2 2 2 2 6 2 2" xfId="15994" xr:uid="{CE9380F2-95FD-4DF4-9521-D9A2182A41EE}"/>
    <cellStyle name="Comma 4 2 2 2 2 2 6 3" xfId="11777" xr:uid="{D253A749-885C-4FAE-8CD7-A660556E6D8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7EC35EAC-8F17-4B34-AC9B-D258E6366C24}"/>
    <cellStyle name="Comma 4 2 2 2 2 2 8 3" xfId="12094" xr:uid="{42E54C54-BC89-4D5E-8857-8A295081034F}"/>
    <cellStyle name="Comma 4 2 2 2 2 2 9" xfId="4602" xr:uid="{00000000-0005-0000-0000-0000BC070000}"/>
    <cellStyle name="Comma 4 2 2 2 2 2 9 2" xfId="13928" xr:uid="{91A7B26E-5A68-46D1-AE63-7A5CCBC2776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9E217CD2-F94C-40B2-A229-5735DA7CA4AC}"/>
    <cellStyle name="Comma 4 2 2 2 2 3 2 3" xfId="12269" xr:uid="{494D2492-96C2-471C-9E46-90B7CAFAC3D0}"/>
    <cellStyle name="Comma 4 2 2 2 2 3 3" xfId="5015" xr:uid="{00000000-0005-0000-0000-0000C0070000}"/>
    <cellStyle name="Comma 4 2 2 2 2 3 3 2" xfId="14341" xr:uid="{98C1AC2B-2EA0-4C91-91EA-AADA3D42FF93}"/>
    <cellStyle name="Comma 4 2 2 2 2 3 4" xfId="9334" xr:uid="{50E8807F-6450-4082-BD30-0A86C2E78D0E}"/>
    <cellStyle name="Comma 4 2 2 2 2 3 4 2" xfId="18649" xr:uid="{0D8B6506-02EC-4B3F-A3D9-9298FB33D4B5}"/>
    <cellStyle name="Comma 4 2 2 2 2 3 5" xfId="10124" xr:uid="{9B8B6C1B-39E5-4621-9D15-4F50CEB40445}"/>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F37BD56B-EBF4-43AB-8BBA-23ABA3CBB4BF}"/>
    <cellStyle name="Comma 4 2 2 2 2 4 2 3" xfId="12682" xr:uid="{47DD190B-5B69-4B96-80EB-26CE21F5AA5F}"/>
    <cellStyle name="Comma 4 2 2 2 2 4 3" xfId="5428" xr:uid="{00000000-0005-0000-0000-0000C4070000}"/>
    <cellStyle name="Comma 4 2 2 2 2 4 3 2" xfId="14754" xr:uid="{AF2D18B2-E603-4051-A9BD-366E67B5BAE2}"/>
    <cellStyle name="Comma 4 2 2 2 2 4 4" xfId="10537" xr:uid="{1BC61BD3-34FB-406E-A8E9-5293CC363E78}"/>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68275EFE-176E-4280-B1ED-B0A5F584DD8C}"/>
    <cellStyle name="Comma 4 2 2 2 2 5 2 3" xfId="13095" xr:uid="{A370DEE7-FD0B-4B2C-A691-12C56B2738BE}"/>
    <cellStyle name="Comma 4 2 2 2 2 5 3" xfId="5841" xr:uid="{00000000-0005-0000-0000-0000C8070000}"/>
    <cellStyle name="Comma 4 2 2 2 2 5 3 2" xfId="15167" xr:uid="{A06F2C98-1B1B-4F37-B07F-5EDE5EF5B2C5}"/>
    <cellStyle name="Comma 4 2 2 2 2 5 4" xfId="10950" xr:uid="{9281BB0A-4493-4FA3-ACAB-5E5E42D3AA64}"/>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38816E0C-F6D9-46BC-B80A-DAD957CE00E4}"/>
    <cellStyle name="Comma 4 2 2 2 2 6 2 3" xfId="13508" xr:uid="{0817E09B-B351-483B-9D06-3C40BEF589A3}"/>
    <cellStyle name="Comma 4 2 2 2 2 6 3" xfId="6254" xr:uid="{00000000-0005-0000-0000-0000CC070000}"/>
    <cellStyle name="Comma 4 2 2 2 2 6 3 2" xfId="15580" xr:uid="{5A02CBEB-CAD0-4D07-996F-7DD10526CA3A}"/>
    <cellStyle name="Comma 4 2 2 2 2 6 4" xfId="11363" xr:uid="{8E659512-16BD-412D-B293-32640550BF36}"/>
    <cellStyle name="Comma 4 2 2 2 2 7" xfId="2383" xr:uid="{00000000-0005-0000-0000-0000CD070000}"/>
    <cellStyle name="Comma 4 2 2 2 2 7 2" xfId="6667" xr:uid="{00000000-0005-0000-0000-0000CE070000}"/>
    <cellStyle name="Comma 4 2 2 2 2 7 2 2" xfId="15993" xr:uid="{5602407F-68A9-403A-A629-16BA4C26BB90}"/>
    <cellStyle name="Comma 4 2 2 2 2 7 3" xfId="11776" xr:uid="{F9F64D85-F91A-4F01-8584-5E2FDD054831}"/>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75583D99-3495-47F6-BD18-39F78D370BD1}"/>
    <cellStyle name="Comma 4 2 2 2 2 9 3" xfId="12093" xr:uid="{86367926-EA32-4E65-8C3C-414B34F65769}"/>
    <cellStyle name="Comma 4 2 2 2 3" xfId="131" xr:uid="{00000000-0005-0000-0000-0000D2070000}"/>
    <cellStyle name="Comma 4 2 2 2 3 10" xfId="9013" xr:uid="{D7491CA1-A7A0-4099-A659-9FB418CDDACA}"/>
    <cellStyle name="Comma 4 2 2 2 3 10 2" xfId="18337" xr:uid="{8E3A376D-7569-495C-A253-D3FCBD67F3D9}"/>
    <cellStyle name="Comma 4 2 2 2 3 11" xfId="9712" xr:uid="{F37D6705-BE2D-44E6-971F-488A45DA0051}"/>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E721E3A0-53D8-4F6B-B0C8-FEEC0649F739}"/>
    <cellStyle name="Comma 4 2 2 2 3 2 2 3" xfId="12271" xr:uid="{A16D507B-72FB-4E2F-B7B7-74994F69DA2B}"/>
    <cellStyle name="Comma 4 2 2 2 3 2 3" xfId="5017" xr:uid="{00000000-0005-0000-0000-0000D6070000}"/>
    <cellStyle name="Comma 4 2 2 2 3 2 3 2" xfId="14343" xr:uid="{294E925A-D6BA-484D-926F-191A4385CDF3}"/>
    <cellStyle name="Comma 4 2 2 2 3 2 4" xfId="9438" xr:uid="{8E9C4341-814A-43D1-8D35-8CCC512A2E32}"/>
    <cellStyle name="Comma 4 2 2 2 3 2 4 2" xfId="18753" xr:uid="{52153C20-49DE-43BC-B92F-9BA758841D56}"/>
    <cellStyle name="Comma 4 2 2 2 3 2 5" xfId="10126" xr:uid="{68EA2698-0A3C-4B8C-8E6B-AB0B5C1629C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B2F9996E-0330-431F-9707-300A65D20B5B}"/>
    <cellStyle name="Comma 4 2 2 2 3 3 2 3" xfId="12684" xr:uid="{1A1B4AE2-684A-45FC-9B64-FC42948625EA}"/>
    <cellStyle name="Comma 4 2 2 2 3 3 3" xfId="5430" xr:uid="{00000000-0005-0000-0000-0000DA070000}"/>
    <cellStyle name="Comma 4 2 2 2 3 3 3 2" xfId="14756" xr:uid="{1A015ED9-2919-4128-9DFD-C65A716931CB}"/>
    <cellStyle name="Comma 4 2 2 2 3 3 4" xfId="10539" xr:uid="{06232088-F400-46D0-B5B6-F2AB515C3B13}"/>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4207A2A0-0C84-41DF-A2BF-3D93F2E95225}"/>
    <cellStyle name="Comma 4 2 2 2 3 4 2 3" xfId="13097" xr:uid="{07E868E5-D69F-428E-B70A-A15FAF07F990}"/>
    <cellStyle name="Comma 4 2 2 2 3 4 3" xfId="5843" xr:uid="{00000000-0005-0000-0000-0000DE070000}"/>
    <cellStyle name="Comma 4 2 2 2 3 4 3 2" xfId="15169" xr:uid="{BC3C5B3B-23AF-4CBB-B568-5E732B752BD5}"/>
    <cellStyle name="Comma 4 2 2 2 3 4 4" xfId="10952" xr:uid="{152E9DAF-4D7D-435B-9135-6F7C321EC295}"/>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F90691C1-60C1-4E73-9CAC-D7913039E449}"/>
    <cellStyle name="Comma 4 2 2 2 3 5 2 3" xfId="13510" xr:uid="{D4310D4D-D596-47A9-90A1-5E9BD0FAC908}"/>
    <cellStyle name="Comma 4 2 2 2 3 5 3" xfId="6256" xr:uid="{00000000-0005-0000-0000-0000E2070000}"/>
    <cellStyle name="Comma 4 2 2 2 3 5 3 2" xfId="15582" xr:uid="{F63FEC8D-EFFA-438B-9A2B-6E6C45296C12}"/>
    <cellStyle name="Comma 4 2 2 2 3 5 4" xfId="11365" xr:uid="{061361B9-620E-49C2-81EF-29ACA951CE13}"/>
    <cellStyle name="Comma 4 2 2 2 3 6" xfId="2385" xr:uid="{00000000-0005-0000-0000-0000E3070000}"/>
    <cellStyle name="Comma 4 2 2 2 3 6 2" xfId="6669" xr:uid="{00000000-0005-0000-0000-0000E4070000}"/>
    <cellStyle name="Comma 4 2 2 2 3 6 2 2" xfId="15995" xr:uid="{BA39C4AE-3DDD-447B-9D72-77B254885F2F}"/>
    <cellStyle name="Comma 4 2 2 2 3 6 3" xfId="11778" xr:uid="{6C9D8E89-A86A-434D-8E0D-A6DA2A5F6892}"/>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1866F119-FACB-4E5D-B91A-C8CBC3AE1C95}"/>
    <cellStyle name="Comma 4 2 2 2 3 8 3" xfId="12095" xr:uid="{953B4B8C-7B49-4C4C-B7E1-E6510422FF8E}"/>
    <cellStyle name="Comma 4 2 2 2 3 9" xfId="4603" xr:uid="{00000000-0005-0000-0000-0000E8070000}"/>
    <cellStyle name="Comma 4 2 2 2 3 9 2" xfId="13929" xr:uid="{9535D403-D5AF-4BD7-8198-EB23DA7382F9}"/>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D1508E9B-141C-416F-BBE6-13C908336D93}"/>
    <cellStyle name="Comma 4 2 2 2 4 2 3" xfId="12268" xr:uid="{237C40B3-E425-49A6-85DF-10049A04FD6B}"/>
    <cellStyle name="Comma 4 2 2 2 4 3" xfId="5014" xr:uid="{00000000-0005-0000-0000-0000EC070000}"/>
    <cellStyle name="Comma 4 2 2 2 4 3 2" xfId="14340" xr:uid="{03EA1DF7-4A3B-43E4-8D3D-4279110CD0C6}"/>
    <cellStyle name="Comma 4 2 2 2 4 4" xfId="9231" xr:uid="{31DAC97A-9492-467B-9850-183797A56FBE}"/>
    <cellStyle name="Comma 4 2 2 2 4 4 2" xfId="18546" xr:uid="{F11616D9-025C-4555-9367-33E6C79863D8}"/>
    <cellStyle name="Comma 4 2 2 2 4 5" xfId="10123" xr:uid="{081BE09A-8980-4026-8FF6-F42935DA29D6}"/>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B0C01B4C-083C-484C-A080-69F71605B3B6}"/>
    <cellStyle name="Comma 4 2 2 2 5 2 3" xfId="12681" xr:uid="{C6E2C5CA-478E-4126-9829-9B0E7F4A3ECE}"/>
    <cellStyle name="Comma 4 2 2 2 5 3" xfId="5427" xr:uid="{00000000-0005-0000-0000-0000F0070000}"/>
    <cellStyle name="Comma 4 2 2 2 5 3 2" xfId="14753" xr:uid="{9C2F3384-015D-4933-B9D5-750E8A44B206}"/>
    <cellStyle name="Comma 4 2 2 2 5 4" xfId="10536" xr:uid="{DAAD87E7-5904-4438-941E-3B222E19F46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4F1F8A80-279F-4D6D-85DD-BA64938661FD}"/>
    <cellStyle name="Comma 4 2 2 2 6 2 3" xfId="13094" xr:uid="{9E874D40-23EB-48B8-AC17-7B8999F62E93}"/>
    <cellStyle name="Comma 4 2 2 2 6 3" xfId="5840" xr:uid="{00000000-0005-0000-0000-0000F4070000}"/>
    <cellStyle name="Comma 4 2 2 2 6 3 2" xfId="15166" xr:uid="{A4850696-0221-4484-9C73-59BB4C1CA954}"/>
    <cellStyle name="Comma 4 2 2 2 6 4" xfId="10949" xr:uid="{AD1DD5B1-3547-4CB3-B794-0640427BBDB6}"/>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17A64D26-FD62-4AC2-9057-D6B92BCD57D2}"/>
    <cellStyle name="Comma 4 2 2 2 7 2 3" xfId="13507" xr:uid="{02F540C4-BF51-4F15-A259-E94C7CB658CB}"/>
    <cellStyle name="Comma 4 2 2 2 7 3" xfId="6253" xr:uid="{00000000-0005-0000-0000-0000F8070000}"/>
    <cellStyle name="Comma 4 2 2 2 7 3 2" xfId="15579" xr:uid="{5FA64751-10A1-4BBA-AF47-2D3A99CD3ABC}"/>
    <cellStyle name="Comma 4 2 2 2 7 4" xfId="11362" xr:uid="{375794B2-2B67-428C-B559-E67571C0765A}"/>
    <cellStyle name="Comma 4 2 2 2 8" xfId="2382" xr:uid="{00000000-0005-0000-0000-0000F9070000}"/>
    <cellStyle name="Comma 4 2 2 2 8 2" xfId="6666" xr:uid="{00000000-0005-0000-0000-0000FA070000}"/>
    <cellStyle name="Comma 4 2 2 2 8 2 2" xfId="15992" xr:uid="{E1198A70-C2F9-4CE0-9B45-5D79799B648F}"/>
    <cellStyle name="Comma 4 2 2 2 8 3" xfId="11775" xr:uid="{4D2D195B-257F-4337-9B52-66FFF6D374AE}"/>
    <cellStyle name="Comma 4 2 2 2 9" xfId="2381" xr:uid="{00000000-0005-0000-0000-0000FB070000}"/>
    <cellStyle name="Comma 4 2 2 3" xfId="132" xr:uid="{00000000-0005-0000-0000-0000FC070000}"/>
    <cellStyle name="Comma 4 2 2 3 10" xfId="4604" xr:uid="{00000000-0005-0000-0000-0000FD070000}"/>
    <cellStyle name="Comma 4 2 2 3 10 2" xfId="13930" xr:uid="{B5E8F06C-FD7E-401B-B6B9-3D019B610DFA}"/>
    <cellStyle name="Comma 4 2 2 3 11" xfId="8889" xr:uid="{93813409-C042-4436-8561-B0237A135E7D}"/>
    <cellStyle name="Comma 4 2 2 3 11 2" xfId="18213" xr:uid="{E3AD2E4E-7537-4A84-99EB-CAE0B9A03BBD}"/>
    <cellStyle name="Comma 4 2 2 3 12" xfId="9713" xr:uid="{68B0282B-FB12-40C6-9090-2F496664207F}"/>
    <cellStyle name="Comma 4 2 2 3 2" xfId="133" xr:uid="{00000000-0005-0000-0000-0000FE070000}"/>
    <cellStyle name="Comma 4 2 2 3 2 10" xfId="9096" xr:uid="{C395B6CC-7E3E-452B-B5AB-BBF992A45CEB}"/>
    <cellStyle name="Comma 4 2 2 3 2 10 2" xfId="18420" xr:uid="{68BEB032-F781-4766-BC76-922B0E931B8F}"/>
    <cellStyle name="Comma 4 2 2 3 2 11" xfId="9714" xr:uid="{074E8FD7-8001-4A67-B25A-2842A70F5CA7}"/>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832D4E81-94D1-4E9B-8F6D-82F03168879A}"/>
    <cellStyle name="Comma 4 2 2 3 2 2 2 3" xfId="12273" xr:uid="{8321CF1F-E1FC-4B44-8A6B-79F477C12476}"/>
    <cellStyle name="Comma 4 2 2 3 2 2 3" xfId="5019" xr:uid="{00000000-0005-0000-0000-000002080000}"/>
    <cellStyle name="Comma 4 2 2 3 2 2 3 2" xfId="14345" xr:uid="{4355C76B-D218-40E1-BF18-CA3542D1D1E2}"/>
    <cellStyle name="Comma 4 2 2 3 2 2 4" xfId="9521" xr:uid="{8F14F654-C711-4E70-8A06-71F68E70E2E0}"/>
    <cellStyle name="Comma 4 2 2 3 2 2 4 2" xfId="18836" xr:uid="{B0FFC459-430D-4643-985F-CAB404A8BC3C}"/>
    <cellStyle name="Comma 4 2 2 3 2 2 5" xfId="10128" xr:uid="{7B088912-1B44-43DA-A285-1D14FB0A187A}"/>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A9B3AFD3-4C50-456E-943F-97C8F4122B4F}"/>
    <cellStyle name="Comma 4 2 2 3 2 3 2 3" xfId="12686" xr:uid="{9A15CB89-73FB-4521-B716-80CA736F85C6}"/>
    <cellStyle name="Comma 4 2 2 3 2 3 3" xfId="5432" xr:uid="{00000000-0005-0000-0000-000006080000}"/>
    <cellStyle name="Comma 4 2 2 3 2 3 3 2" xfId="14758" xr:uid="{15B2A59F-CD48-4CB6-8D5D-E353F7D203AD}"/>
    <cellStyle name="Comma 4 2 2 3 2 3 4" xfId="10541" xr:uid="{7F465E29-8AB6-46C4-BFDE-F1C545A1FDA3}"/>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7CC5015B-AB3D-425F-8499-ABA8C8E91FB5}"/>
    <cellStyle name="Comma 4 2 2 3 2 4 2 3" xfId="13099" xr:uid="{D85DD111-F283-4E1B-98A4-764A6407C921}"/>
    <cellStyle name="Comma 4 2 2 3 2 4 3" xfId="5845" xr:uid="{00000000-0005-0000-0000-00000A080000}"/>
    <cellStyle name="Comma 4 2 2 3 2 4 3 2" xfId="15171" xr:uid="{4C235DED-0F84-48D5-A900-E975C7F19E2B}"/>
    <cellStyle name="Comma 4 2 2 3 2 4 4" xfId="10954" xr:uid="{B5D3ECF7-72A8-4BAC-ABFA-822F9B6240A5}"/>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FD988E5A-3290-44EE-8CE6-C9104A20A799}"/>
    <cellStyle name="Comma 4 2 2 3 2 5 2 3" xfId="13512" xr:uid="{019AA084-927D-4B73-89BE-BF016EB91635}"/>
    <cellStyle name="Comma 4 2 2 3 2 5 3" xfId="6258" xr:uid="{00000000-0005-0000-0000-00000E080000}"/>
    <cellStyle name="Comma 4 2 2 3 2 5 3 2" xfId="15584" xr:uid="{0FB06E80-1A30-43CF-939A-DA7E3F7130D6}"/>
    <cellStyle name="Comma 4 2 2 3 2 5 4" xfId="11367" xr:uid="{A4312AB5-DA1C-47B2-A49D-13EE175240AC}"/>
    <cellStyle name="Comma 4 2 2 3 2 6" xfId="2387" xr:uid="{00000000-0005-0000-0000-00000F080000}"/>
    <cellStyle name="Comma 4 2 2 3 2 6 2" xfId="6671" xr:uid="{00000000-0005-0000-0000-000010080000}"/>
    <cellStyle name="Comma 4 2 2 3 2 6 2 2" xfId="15997" xr:uid="{6319EA0D-4CD0-4EA1-AD3B-DD95457912C1}"/>
    <cellStyle name="Comma 4 2 2 3 2 6 3" xfId="11780" xr:uid="{14F0402E-BD7A-4CBF-AB55-D1517B2A7F19}"/>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923DE997-5430-4C71-A3CC-CF2BC2AC031C}"/>
    <cellStyle name="Comma 4 2 2 3 2 8 3" xfId="12097" xr:uid="{8398682A-2CAB-44FF-9367-FCFEB880D5F4}"/>
    <cellStyle name="Comma 4 2 2 3 2 9" xfId="4605" xr:uid="{00000000-0005-0000-0000-000014080000}"/>
    <cellStyle name="Comma 4 2 2 3 2 9 2" xfId="13931" xr:uid="{FF19CB55-EBF5-4073-B236-710CAFB0F5C7}"/>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DA35D00A-06AD-441F-BEFD-B6A6F51BF3F3}"/>
    <cellStyle name="Comma 4 2 2 3 3 2 3" xfId="12272" xr:uid="{FA56980B-0258-421C-A05C-D088FB9FF2BF}"/>
    <cellStyle name="Comma 4 2 2 3 3 3" xfId="5018" xr:uid="{00000000-0005-0000-0000-000018080000}"/>
    <cellStyle name="Comma 4 2 2 3 3 3 2" xfId="14344" xr:uid="{ECCA83A7-C5D9-4958-825D-24936807D1BB}"/>
    <cellStyle name="Comma 4 2 2 3 3 4" xfId="9314" xr:uid="{A74197AE-1229-40FC-8212-8FB289D74FF6}"/>
    <cellStyle name="Comma 4 2 2 3 3 4 2" xfId="18629" xr:uid="{C833F6AF-2D20-42FF-AD79-BD39D1A7D66A}"/>
    <cellStyle name="Comma 4 2 2 3 3 5" xfId="10127" xr:uid="{C6A150FE-B73E-4613-83F2-7BBCBB0B960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E85EBF48-055B-42E3-8399-6373CB0B11C6}"/>
    <cellStyle name="Comma 4 2 2 3 4 2 3" xfId="12685" xr:uid="{3AD97EB3-4C7C-4557-A34E-B095BC58B774}"/>
    <cellStyle name="Comma 4 2 2 3 4 3" xfId="5431" xr:uid="{00000000-0005-0000-0000-00001C080000}"/>
    <cellStyle name="Comma 4 2 2 3 4 3 2" xfId="14757" xr:uid="{B7D1BED7-A904-4287-B0B3-496C2D2501CA}"/>
    <cellStyle name="Comma 4 2 2 3 4 4" xfId="10540" xr:uid="{5FCB30C6-04A0-4733-932A-314BC7C2362F}"/>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D6A3E285-A4C6-4923-8136-67B1D71B21BC}"/>
    <cellStyle name="Comma 4 2 2 3 5 2 3" xfId="13098" xr:uid="{57F69042-56B8-43EC-934C-50BF2A2795E0}"/>
    <cellStyle name="Comma 4 2 2 3 5 3" xfId="5844" xr:uid="{00000000-0005-0000-0000-000020080000}"/>
    <cellStyle name="Comma 4 2 2 3 5 3 2" xfId="15170" xr:uid="{832A30B4-4711-46C3-A567-56E8F92131AE}"/>
    <cellStyle name="Comma 4 2 2 3 5 4" xfId="10953" xr:uid="{1AD35D52-18F2-4124-A918-2062B0E422E8}"/>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9EC2EAED-32B6-4FD3-989A-70D61AD36F5C}"/>
    <cellStyle name="Comma 4 2 2 3 6 2 3" xfId="13511" xr:uid="{1F1CB5A5-F34B-4A7F-8431-560E60D839F0}"/>
    <cellStyle name="Comma 4 2 2 3 6 3" xfId="6257" xr:uid="{00000000-0005-0000-0000-000024080000}"/>
    <cellStyle name="Comma 4 2 2 3 6 3 2" xfId="15583" xr:uid="{420260BC-5D09-4EA6-A843-FC61DD2377BD}"/>
    <cellStyle name="Comma 4 2 2 3 6 4" xfId="11366" xr:uid="{73AEBC06-4009-471E-AE57-366DA5B69015}"/>
    <cellStyle name="Comma 4 2 2 3 7" xfId="2386" xr:uid="{00000000-0005-0000-0000-000025080000}"/>
    <cellStyle name="Comma 4 2 2 3 7 2" xfId="6670" xr:uid="{00000000-0005-0000-0000-000026080000}"/>
    <cellStyle name="Comma 4 2 2 3 7 2 2" xfId="15996" xr:uid="{69638F38-9775-42E2-9163-A7D0DF2CE784}"/>
    <cellStyle name="Comma 4 2 2 3 7 3" xfId="11779" xr:uid="{E035D568-85BD-4623-B82A-383DBA4409E0}"/>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689BA9BB-6DD5-4DD9-AAB4-6E176065624B}"/>
    <cellStyle name="Comma 4 2 2 3 9 3" xfId="12096" xr:uid="{412B526F-3585-42E9-99DA-2769FF48A8A2}"/>
    <cellStyle name="Comma 4 2 2 4" xfId="134" xr:uid="{00000000-0005-0000-0000-00002A080000}"/>
    <cellStyle name="Comma 4 2 2 4 10" xfId="8993" xr:uid="{2969CB69-37C4-4C43-BC9D-87F92556F829}"/>
    <cellStyle name="Comma 4 2 2 4 10 2" xfId="18317" xr:uid="{76547488-C7E1-425A-9D20-D3C7B37D34BD}"/>
    <cellStyle name="Comma 4 2 2 4 11" xfId="9715" xr:uid="{07FE970B-8E92-4D39-9DFF-B05C12358333}"/>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11670ABF-5C4E-4DB8-BF03-C11E6596299D}"/>
    <cellStyle name="Comma 4 2 2 4 2 2 3" xfId="12274" xr:uid="{81AF1F11-BC9F-4C85-8EF6-1441F41619BA}"/>
    <cellStyle name="Comma 4 2 2 4 2 3" xfId="5020" xr:uid="{00000000-0005-0000-0000-00002E080000}"/>
    <cellStyle name="Comma 4 2 2 4 2 3 2" xfId="14346" xr:uid="{0EE59096-1877-4EED-BC79-370060443E4B}"/>
    <cellStyle name="Comma 4 2 2 4 2 4" xfId="9418" xr:uid="{F2EB07B7-2227-485D-9411-A8F75EC2F9DA}"/>
    <cellStyle name="Comma 4 2 2 4 2 4 2" xfId="18733" xr:uid="{79D7D834-0538-4D97-BFC8-613FE12A7C84}"/>
    <cellStyle name="Comma 4 2 2 4 2 5" xfId="10129" xr:uid="{0332916D-DDF1-4A92-B500-12AE703A46C2}"/>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2BB77B49-CD4E-4DF8-966F-D4513AB9530F}"/>
    <cellStyle name="Comma 4 2 2 4 3 2 3" xfId="12687" xr:uid="{885A3BBB-6856-48C3-8667-AA25CE6871A3}"/>
    <cellStyle name="Comma 4 2 2 4 3 3" xfId="5433" xr:uid="{00000000-0005-0000-0000-000032080000}"/>
    <cellStyle name="Comma 4 2 2 4 3 3 2" xfId="14759" xr:uid="{A5927804-D24C-491D-AA91-6A8B695EE7CD}"/>
    <cellStyle name="Comma 4 2 2 4 3 4" xfId="10542" xr:uid="{0A1E1004-EE26-472C-A1A5-915DBFD928C6}"/>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6DA1B7B1-4875-45DC-8573-E72668A44ACE}"/>
    <cellStyle name="Comma 4 2 2 4 4 2 3" xfId="13100" xr:uid="{38C3A646-7160-4177-921B-C0E357055B61}"/>
    <cellStyle name="Comma 4 2 2 4 4 3" xfId="5846" xr:uid="{00000000-0005-0000-0000-000036080000}"/>
    <cellStyle name="Comma 4 2 2 4 4 3 2" xfId="15172" xr:uid="{93879591-D0B7-4AAD-A5C7-524D7BFD7151}"/>
    <cellStyle name="Comma 4 2 2 4 4 4" xfId="10955" xr:uid="{494F1C21-3559-47EA-BA91-B857B653D3BA}"/>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DE091298-211D-4A8D-A0D7-7642F8CFC7D0}"/>
    <cellStyle name="Comma 4 2 2 4 5 2 3" xfId="13513" xr:uid="{8C453E8A-3719-4B7D-8884-107C79145082}"/>
    <cellStyle name="Comma 4 2 2 4 5 3" xfId="6259" xr:uid="{00000000-0005-0000-0000-00003A080000}"/>
    <cellStyle name="Comma 4 2 2 4 5 3 2" xfId="15585" xr:uid="{81570AD7-D4D3-4B7D-8313-2BB99E70E6B9}"/>
    <cellStyle name="Comma 4 2 2 4 5 4" xfId="11368" xr:uid="{4883A7A4-B35A-4DCD-93E3-4EF49D14024B}"/>
    <cellStyle name="Comma 4 2 2 4 6" xfId="2388" xr:uid="{00000000-0005-0000-0000-00003B080000}"/>
    <cellStyle name="Comma 4 2 2 4 6 2" xfId="6672" xr:uid="{00000000-0005-0000-0000-00003C080000}"/>
    <cellStyle name="Comma 4 2 2 4 6 2 2" xfId="15998" xr:uid="{6D988939-5D52-49FF-BC2E-5F47F6C3D8DA}"/>
    <cellStyle name="Comma 4 2 2 4 6 3" xfId="11781" xr:uid="{C3A4CE5B-6BBB-459A-B314-9D2F8E0EE338}"/>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335CCCF4-C27F-4A9D-B5B6-807C00658F50}"/>
    <cellStyle name="Comma 4 2 2 4 8 3" xfId="12098" xr:uid="{3CA08224-6403-4459-A59D-62355F785BD4}"/>
    <cellStyle name="Comma 4 2 2 4 9" xfId="4606" xr:uid="{00000000-0005-0000-0000-000040080000}"/>
    <cellStyle name="Comma 4 2 2 4 9 2" xfId="13932" xr:uid="{C6480BA7-89C9-46E7-9F49-4E0CDE7A70C9}"/>
    <cellStyle name="Comma 4 2 2 5" xfId="135" xr:uid="{00000000-0005-0000-0000-000041080000}"/>
    <cellStyle name="Comma 4 2 2 5 10" xfId="9210" xr:uid="{C1F9418B-EF96-4063-883D-A983E131C6A4}"/>
    <cellStyle name="Comma 4 2 2 5 10 2" xfId="18526" xr:uid="{B4C6C8BE-B18E-4922-902C-74BA19E35F3A}"/>
    <cellStyle name="Comma 4 2 2 5 11" xfId="9716" xr:uid="{641CD677-752F-4284-93D4-436CF1DE5985}"/>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EA24F99D-162E-4721-BA19-A8254D78DE4F}"/>
    <cellStyle name="Comma 4 2 2 5 2 2 3" xfId="12275" xr:uid="{058D2ACD-787D-42C5-ABBE-3C882813EF65}"/>
    <cellStyle name="Comma 4 2 2 5 2 3" xfId="5021" xr:uid="{00000000-0005-0000-0000-000045080000}"/>
    <cellStyle name="Comma 4 2 2 5 2 3 2" xfId="14347" xr:uid="{70E2915D-D654-4BF0-B3BB-3C15B3BC698A}"/>
    <cellStyle name="Comma 4 2 2 5 2 4" xfId="9593" xr:uid="{3B41C66E-2108-4CBE-9776-211459781E55}"/>
    <cellStyle name="Comma 4 2 2 5 2 4 2" xfId="18897" xr:uid="{5C417118-DD34-423F-B891-FFE3A6903636}"/>
    <cellStyle name="Comma 4 2 2 5 2 5" xfId="10130" xr:uid="{75FFF7B8-BCB9-4E7B-8157-DC9008CF2BAD}"/>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504ED482-D735-4FCD-BF07-915A229B6A80}"/>
    <cellStyle name="Comma 4 2 2 5 3 2 3" xfId="12688" xr:uid="{6156FE01-2FEF-4121-B550-F3BDF0495B95}"/>
    <cellStyle name="Comma 4 2 2 5 3 3" xfId="5434" xr:uid="{00000000-0005-0000-0000-000049080000}"/>
    <cellStyle name="Comma 4 2 2 5 3 3 2" xfId="14760" xr:uid="{8E1B6C32-6E65-4FDC-ACA7-C6035C7A305E}"/>
    <cellStyle name="Comma 4 2 2 5 3 4" xfId="10543" xr:uid="{41C5C0C0-0BC2-4AA9-BB37-1F2AFE444886}"/>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5052FB45-1B57-4006-803A-4BFD86521966}"/>
    <cellStyle name="Comma 4 2 2 5 4 2 3" xfId="13101" xr:uid="{FC0B140E-8D54-4184-8D14-653C0FC02394}"/>
    <cellStyle name="Comma 4 2 2 5 4 3" xfId="5847" xr:uid="{00000000-0005-0000-0000-00004D080000}"/>
    <cellStyle name="Comma 4 2 2 5 4 3 2" xfId="15173" xr:uid="{29617C4B-B488-4883-BFA6-A697306765B6}"/>
    <cellStyle name="Comma 4 2 2 5 4 4" xfId="10956" xr:uid="{53C73157-7325-4395-8188-B756535BAD21}"/>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4BD23522-5879-449C-9D5C-0AFA02CD5B13}"/>
    <cellStyle name="Comma 4 2 2 5 5 2 3" xfId="13514" xr:uid="{E3690A78-6579-4A5F-B18A-D4C037930880}"/>
    <cellStyle name="Comma 4 2 2 5 5 3" xfId="6260" xr:uid="{00000000-0005-0000-0000-000051080000}"/>
    <cellStyle name="Comma 4 2 2 5 5 3 2" xfId="15586" xr:uid="{4CBCDD40-83C3-4B91-AE43-43BF03ECF800}"/>
    <cellStyle name="Comma 4 2 2 5 5 4" xfId="11369" xr:uid="{4553BCEC-1996-4AF0-8FF7-3B1C52F87FE7}"/>
    <cellStyle name="Comma 4 2 2 5 6" xfId="2389" xr:uid="{00000000-0005-0000-0000-000052080000}"/>
    <cellStyle name="Comma 4 2 2 5 6 2" xfId="6673" xr:uid="{00000000-0005-0000-0000-000053080000}"/>
    <cellStyle name="Comma 4 2 2 5 6 2 2" xfId="15999" xr:uid="{3D7CA55D-AE74-4D8C-AF96-6DC050811F92}"/>
    <cellStyle name="Comma 4 2 2 5 6 3" xfId="11782" xr:uid="{9CB5B3C1-BBCE-47B9-A15F-2E96332109EA}"/>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CB93DEAB-D33C-409E-A9CE-28A5A1D8AFFD}"/>
    <cellStyle name="Comma 4 2 2 5 8 3" xfId="12099" xr:uid="{95B31FC9-047F-4240-8CC6-51A342FEC102}"/>
    <cellStyle name="Comma 4 2 2 5 9" xfId="4607" xr:uid="{00000000-0005-0000-0000-000057080000}"/>
    <cellStyle name="Comma 4 2 2 5 9 2" xfId="13933" xr:uid="{34566964-0597-41C5-84ED-CCB074EF5B6B}"/>
    <cellStyle name="Comma 4 2 2 6" xfId="9228" xr:uid="{49D8FCED-23A7-48B2-8D10-F90787B2F62D}"/>
    <cellStyle name="Comma 4 2 2 7" xfId="8786" xr:uid="{8FDBE9F4-5F27-4B1B-A262-D62BF874EF16}"/>
    <cellStyle name="Comma 4 2 2 7 2" xfId="18110" xr:uid="{2FBDCA1B-720C-4186-9932-BDD4730BD018}"/>
    <cellStyle name="Comma 4 2 3" xfId="136" xr:uid="{00000000-0005-0000-0000-000058080000}"/>
    <cellStyle name="Comma 4 2 3 10" xfId="2768" xr:uid="{00000000-0005-0000-0000-000059080000}"/>
    <cellStyle name="Comma 4 2 3 10 2" xfId="6991" xr:uid="{00000000-0005-0000-0000-00005A080000}"/>
    <cellStyle name="Comma 4 2 3 10 2 2" xfId="16317" xr:uid="{1DF6883C-9909-49A3-B754-10BE87592844}"/>
    <cellStyle name="Comma 4 2 3 10 3" xfId="12100" xr:uid="{0510BA50-B566-4BE3-8C86-070DCC36C741}"/>
    <cellStyle name="Comma 4 2 3 11" xfId="4608" xr:uid="{00000000-0005-0000-0000-00005B080000}"/>
    <cellStyle name="Comma 4 2 3 11 2" xfId="13934" xr:uid="{2F7AC23A-0A77-4E58-825E-96393ACAA603}"/>
    <cellStyle name="Comma 4 2 3 12" xfId="8805" xr:uid="{C45527F6-07B7-4887-BAF3-A6424444BA3B}"/>
    <cellStyle name="Comma 4 2 3 12 2" xfId="18129" xr:uid="{7C49F11A-FA18-4BC5-86F3-E4242F30DF60}"/>
    <cellStyle name="Comma 4 2 3 13" xfId="9717" xr:uid="{75260463-CA03-45E0-9077-012A6D1436E7}"/>
    <cellStyle name="Comma 4 2 3 2" xfId="137" xr:uid="{00000000-0005-0000-0000-00005C080000}"/>
    <cellStyle name="Comma 4 2 3 2 10" xfId="4609" xr:uid="{00000000-0005-0000-0000-00005D080000}"/>
    <cellStyle name="Comma 4 2 3 2 10 2" xfId="13935" xr:uid="{37337700-6EC1-4C62-B588-DDB7007325B7}"/>
    <cellStyle name="Comma 4 2 3 2 11" xfId="8908" xr:uid="{E7021C11-E6EB-4392-A0AD-2A78F42B4BB7}"/>
    <cellStyle name="Comma 4 2 3 2 11 2" xfId="18232" xr:uid="{12ACC5C6-F260-4AF8-BB08-6D30934BB440}"/>
    <cellStyle name="Comma 4 2 3 2 12" xfId="9718" xr:uid="{B60F706B-D4AF-42E2-AFA5-5E64381691E2}"/>
    <cellStyle name="Comma 4 2 3 2 2" xfId="138" xr:uid="{00000000-0005-0000-0000-00005E080000}"/>
    <cellStyle name="Comma 4 2 3 2 2 10" xfId="9115" xr:uid="{1A31CCC4-B2C0-4E0C-B714-855521500FE8}"/>
    <cellStyle name="Comma 4 2 3 2 2 10 2" xfId="18439" xr:uid="{D47D2B2B-4AB8-49F0-88F7-A77C5129E62C}"/>
    <cellStyle name="Comma 4 2 3 2 2 11" xfId="9719" xr:uid="{797A8973-2A37-40DF-B11F-F40D723D2E0B}"/>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82340215-C739-4A33-93AC-D6E199697422}"/>
    <cellStyle name="Comma 4 2 3 2 2 2 2 3" xfId="12278" xr:uid="{16847DE9-6C96-4EDB-8D33-F4CA66A95BD6}"/>
    <cellStyle name="Comma 4 2 3 2 2 2 3" xfId="5024" xr:uid="{00000000-0005-0000-0000-000062080000}"/>
    <cellStyle name="Comma 4 2 3 2 2 2 3 2" xfId="14350" xr:uid="{ACB67F02-FD9C-4512-B3DB-3800A73F2310}"/>
    <cellStyle name="Comma 4 2 3 2 2 2 4" xfId="9540" xr:uid="{F922DD27-FEAE-4DB6-894F-26CD58815668}"/>
    <cellStyle name="Comma 4 2 3 2 2 2 4 2" xfId="18855" xr:uid="{BF6FF905-1F4E-45C0-9132-D210168E5154}"/>
    <cellStyle name="Comma 4 2 3 2 2 2 5" xfId="10133" xr:uid="{FFED47AC-0FA8-4C68-B44C-D5F154582C3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A6918337-C8F9-462C-9D02-F2A8FFD578DB}"/>
    <cellStyle name="Comma 4 2 3 2 2 3 2 3" xfId="12691" xr:uid="{4AFE09DB-CB7E-4E51-B797-71FFED031DFE}"/>
    <cellStyle name="Comma 4 2 3 2 2 3 3" xfId="5437" xr:uid="{00000000-0005-0000-0000-000066080000}"/>
    <cellStyle name="Comma 4 2 3 2 2 3 3 2" xfId="14763" xr:uid="{96F053E2-6DDF-431D-AAEF-6CBD442AD4CC}"/>
    <cellStyle name="Comma 4 2 3 2 2 3 4" xfId="10546" xr:uid="{D050E466-06A8-40EC-9126-CF0A3A2E316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DA0DF11F-6401-436C-B541-4AD73D7ADB8F}"/>
    <cellStyle name="Comma 4 2 3 2 2 4 2 3" xfId="13104" xr:uid="{DB8991D9-B402-449A-B30E-D16ADA4CB152}"/>
    <cellStyle name="Comma 4 2 3 2 2 4 3" xfId="5850" xr:uid="{00000000-0005-0000-0000-00006A080000}"/>
    <cellStyle name="Comma 4 2 3 2 2 4 3 2" xfId="15176" xr:uid="{EC879BE6-90CD-41A8-8DF3-C93DC593DA88}"/>
    <cellStyle name="Comma 4 2 3 2 2 4 4" xfId="10959" xr:uid="{BBACA722-06BC-4FA6-A136-6B5FF303E828}"/>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54DB2224-9D6A-4D00-B0F5-DD346BE7A9D5}"/>
    <cellStyle name="Comma 4 2 3 2 2 5 2 3" xfId="13517" xr:uid="{13333540-25EE-4EE9-964A-F95876C3212F}"/>
    <cellStyle name="Comma 4 2 3 2 2 5 3" xfId="6263" xr:uid="{00000000-0005-0000-0000-00006E080000}"/>
    <cellStyle name="Comma 4 2 3 2 2 5 3 2" xfId="15589" xr:uid="{448A51DC-4E7C-4037-A4A9-3C3B8F427CC3}"/>
    <cellStyle name="Comma 4 2 3 2 2 5 4" xfId="11372" xr:uid="{48718422-A3D1-4BCA-9F81-5855732E1785}"/>
    <cellStyle name="Comma 4 2 3 2 2 6" xfId="2392" xr:uid="{00000000-0005-0000-0000-00006F080000}"/>
    <cellStyle name="Comma 4 2 3 2 2 6 2" xfId="6676" xr:uid="{00000000-0005-0000-0000-000070080000}"/>
    <cellStyle name="Comma 4 2 3 2 2 6 2 2" xfId="16002" xr:uid="{2B852A15-6C44-425E-A727-3D8CD5F0AC78}"/>
    <cellStyle name="Comma 4 2 3 2 2 6 3" xfId="11785" xr:uid="{1A050205-6B53-4FB0-9730-D9BC3C558CD9}"/>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6A675156-7DF8-4618-9B7D-0D4918A40B7A}"/>
    <cellStyle name="Comma 4 2 3 2 2 8 3" xfId="12102" xr:uid="{2A4A8BF5-28A2-4831-9FEF-A740BAB07B76}"/>
    <cellStyle name="Comma 4 2 3 2 2 9" xfId="4610" xr:uid="{00000000-0005-0000-0000-000074080000}"/>
    <cellStyle name="Comma 4 2 3 2 2 9 2" xfId="13936" xr:uid="{A3B64098-97BA-4B16-B251-475A93B42040}"/>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ACF674E4-2F1E-4259-A5EB-E4D2A55E4973}"/>
    <cellStyle name="Comma 4 2 3 2 3 2 3" xfId="12277" xr:uid="{1ADF5C06-4CC3-4AB2-9BAC-8CEC497C8CB1}"/>
    <cellStyle name="Comma 4 2 3 2 3 3" xfId="5023" xr:uid="{00000000-0005-0000-0000-000078080000}"/>
    <cellStyle name="Comma 4 2 3 2 3 3 2" xfId="14349" xr:uid="{02F3B4AA-6FE7-48A4-81BF-7A4A38CCA9EF}"/>
    <cellStyle name="Comma 4 2 3 2 3 4" xfId="9333" xr:uid="{5C974796-1B06-4FA8-AB2A-F6B34628ACD4}"/>
    <cellStyle name="Comma 4 2 3 2 3 4 2" xfId="18648" xr:uid="{FB0D4640-6AB6-4728-ABB3-172C75A45259}"/>
    <cellStyle name="Comma 4 2 3 2 3 5" xfId="10132" xr:uid="{ABEDDE40-1165-45B3-9A55-DB4B07E3CABF}"/>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6CC255B8-2A24-4D94-B6F1-E3030D238E3D}"/>
    <cellStyle name="Comma 4 2 3 2 4 2 3" xfId="12690" xr:uid="{F194FD4C-1E44-4EE9-AB72-27EE03D949DC}"/>
    <cellStyle name="Comma 4 2 3 2 4 3" xfId="5436" xr:uid="{00000000-0005-0000-0000-00007C080000}"/>
    <cellStyle name="Comma 4 2 3 2 4 3 2" xfId="14762" xr:uid="{0C442ADA-8044-4A15-BC73-10DBB34BCC80}"/>
    <cellStyle name="Comma 4 2 3 2 4 4" xfId="10545" xr:uid="{E95C051F-413A-46A0-8A7B-0CE69DF766D3}"/>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ECF41104-A091-4510-BA8C-6722D85EB92C}"/>
    <cellStyle name="Comma 4 2 3 2 5 2 3" xfId="13103" xr:uid="{891209FA-5469-4D58-93DD-CBDCE033841D}"/>
    <cellStyle name="Comma 4 2 3 2 5 3" xfId="5849" xr:uid="{00000000-0005-0000-0000-000080080000}"/>
    <cellStyle name="Comma 4 2 3 2 5 3 2" xfId="15175" xr:uid="{0EF85F6F-4D98-4C03-8807-190662B3F119}"/>
    <cellStyle name="Comma 4 2 3 2 5 4" xfId="10958" xr:uid="{64622521-0DC1-4092-8A02-5539AC9BCCD0}"/>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AA3E4E54-1D8B-48E9-B700-60C2844B07A4}"/>
    <cellStyle name="Comma 4 2 3 2 6 2 3" xfId="13516" xr:uid="{A2C24444-4749-4FF5-8C8D-384493BDC561}"/>
    <cellStyle name="Comma 4 2 3 2 6 3" xfId="6262" xr:uid="{00000000-0005-0000-0000-000084080000}"/>
    <cellStyle name="Comma 4 2 3 2 6 3 2" xfId="15588" xr:uid="{A46246DB-48DC-4C28-90D8-67A5ABC7C5E5}"/>
    <cellStyle name="Comma 4 2 3 2 6 4" xfId="11371" xr:uid="{FDF70945-C7D2-4814-B962-FE1621054347}"/>
    <cellStyle name="Comma 4 2 3 2 7" xfId="2391" xr:uid="{00000000-0005-0000-0000-000085080000}"/>
    <cellStyle name="Comma 4 2 3 2 7 2" xfId="6675" xr:uid="{00000000-0005-0000-0000-000086080000}"/>
    <cellStyle name="Comma 4 2 3 2 7 2 2" xfId="16001" xr:uid="{841C7995-C966-44F3-BF9F-2667AE58083E}"/>
    <cellStyle name="Comma 4 2 3 2 7 3" xfId="11784" xr:uid="{81B83B7E-2423-4E5E-B7BE-EDA25C9EC69A}"/>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90AE652F-8CD1-498E-9F29-5DD4728D027C}"/>
    <cellStyle name="Comma 4 2 3 2 9 3" xfId="12101" xr:uid="{779B3161-5FF4-425D-9C04-F8C333FEA230}"/>
    <cellStyle name="Comma 4 2 3 3" xfId="139" xr:uid="{00000000-0005-0000-0000-00008A080000}"/>
    <cellStyle name="Comma 4 2 3 3 10" xfId="9012" xr:uid="{61C0F117-76A9-43CA-B381-88B2CFF6294C}"/>
    <cellStyle name="Comma 4 2 3 3 10 2" xfId="18336" xr:uid="{7CB18740-760F-4E56-A304-253807494C16}"/>
    <cellStyle name="Comma 4 2 3 3 11" xfId="9720" xr:uid="{4BB7D4DC-89D9-433C-BBC0-E8A80545E9DF}"/>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38672597-95F7-413C-BB58-8E442BE77113}"/>
    <cellStyle name="Comma 4 2 3 3 2 2 3" xfId="12279" xr:uid="{4A02BBDA-CBD6-43CD-9F3E-568F94B2844E}"/>
    <cellStyle name="Comma 4 2 3 3 2 3" xfId="5025" xr:uid="{00000000-0005-0000-0000-00008E080000}"/>
    <cellStyle name="Comma 4 2 3 3 2 3 2" xfId="14351" xr:uid="{3BE90E1A-D667-4418-9D7B-233C9F0046EA}"/>
    <cellStyle name="Comma 4 2 3 3 2 4" xfId="9437" xr:uid="{35C6809B-E49F-4A7F-8CB1-650474E72B0A}"/>
    <cellStyle name="Comma 4 2 3 3 2 4 2" xfId="18752" xr:uid="{FEB72C50-1E09-42DC-83CB-DCD4EE783BAC}"/>
    <cellStyle name="Comma 4 2 3 3 2 5" xfId="10134" xr:uid="{AD6F4D99-81B3-44AB-B667-3F159C2D5636}"/>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18B42279-65AD-49FF-9448-6121934A03A0}"/>
    <cellStyle name="Comma 4 2 3 3 3 2 3" xfId="12692" xr:uid="{C3605A51-13B2-4DEB-B6C3-CF5E45DA63A8}"/>
    <cellStyle name="Comma 4 2 3 3 3 3" xfId="5438" xr:uid="{00000000-0005-0000-0000-000092080000}"/>
    <cellStyle name="Comma 4 2 3 3 3 3 2" xfId="14764" xr:uid="{69FF6733-C770-49E5-8F69-CF71DE27FF8D}"/>
    <cellStyle name="Comma 4 2 3 3 3 4" xfId="10547" xr:uid="{F17CCD4D-9645-4EA3-80D1-9991A30FA0AF}"/>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79DEBF6B-D06C-4D4C-8190-DCCAAD3FFD64}"/>
    <cellStyle name="Comma 4 2 3 3 4 2 3" xfId="13105" xr:uid="{DB19C06E-E64B-411E-930B-1A0F03DCFFF1}"/>
    <cellStyle name="Comma 4 2 3 3 4 3" xfId="5851" xr:uid="{00000000-0005-0000-0000-000096080000}"/>
    <cellStyle name="Comma 4 2 3 3 4 3 2" xfId="15177" xr:uid="{CEE7097E-7FD5-4430-8996-31941C18B171}"/>
    <cellStyle name="Comma 4 2 3 3 4 4" xfId="10960" xr:uid="{1D1D3C0F-79F3-461E-80EC-DA5172DC4115}"/>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AE66D216-435F-43FF-83DC-A182F69BB6F7}"/>
    <cellStyle name="Comma 4 2 3 3 5 2 3" xfId="13518" xr:uid="{DBDF77C6-4DF4-4D25-8B75-EFD1E1D3019B}"/>
    <cellStyle name="Comma 4 2 3 3 5 3" xfId="6264" xr:uid="{00000000-0005-0000-0000-00009A080000}"/>
    <cellStyle name="Comma 4 2 3 3 5 3 2" xfId="15590" xr:uid="{D1B902AA-D23C-4966-B51E-49B4EE9C3280}"/>
    <cellStyle name="Comma 4 2 3 3 5 4" xfId="11373" xr:uid="{FA8FB443-D184-40D1-A28E-1488E8C1F20A}"/>
    <cellStyle name="Comma 4 2 3 3 6" xfId="2393" xr:uid="{00000000-0005-0000-0000-00009B080000}"/>
    <cellStyle name="Comma 4 2 3 3 6 2" xfId="6677" xr:uid="{00000000-0005-0000-0000-00009C080000}"/>
    <cellStyle name="Comma 4 2 3 3 6 2 2" xfId="16003" xr:uid="{A226D5FC-50CC-420B-B3A9-27E6E96D5A33}"/>
    <cellStyle name="Comma 4 2 3 3 6 3" xfId="11786" xr:uid="{520368E9-60C9-4C6F-84F2-FEFC5727C4EA}"/>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44C9E18B-7E94-478B-8EF2-D5F861A8A6AA}"/>
    <cellStyle name="Comma 4 2 3 3 8 3" xfId="12103" xr:uid="{5D6B97D0-789D-42C2-A5D1-AA13C5E8641C}"/>
    <cellStyle name="Comma 4 2 3 3 9" xfId="4611" xr:uid="{00000000-0005-0000-0000-0000A0080000}"/>
    <cellStyle name="Comma 4 2 3 3 9 2" xfId="13937" xr:uid="{3D0396B8-0AD7-4BE0-866E-89A872BCF14C}"/>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5479B725-64C3-4712-9B14-4CD47E34D34C}"/>
    <cellStyle name="Comma 4 2 3 4 2 3" xfId="12276" xr:uid="{F6F60D4D-AFB4-46FB-987A-983180D93984}"/>
    <cellStyle name="Comma 4 2 3 4 3" xfId="5022" xr:uid="{00000000-0005-0000-0000-0000A4080000}"/>
    <cellStyle name="Comma 4 2 3 4 3 2" xfId="14348" xr:uid="{51386EBF-FA70-4D1A-A08D-11E27FC0E94E}"/>
    <cellStyle name="Comma 4 2 3 4 4" xfId="9230" xr:uid="{24B6B749-023F-4009-8785-C6CFE1098E24}"/>
    <cellStyle name="Comma 4 2 3 4 4 2" xfId="18545" xr:uid="{2A74701D-667D-4A88-89CA-4E6C5BCBD19D}"/>
    <cellStyle name="Comma 4 2 3 4 5" xfId="10131" xr:uid="{3485797A-6E0F-4E75-9196-02A10DE608C1}"/>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1FE912F3-9682-4D3A-9A71-47EB352A26B9}"/>
    <cellStyle name="Comma 4 2 3 5 2 3" xfId="12689" xr:uid="{81F46D3C-CE86-4C10-87CC-5C555AE677DF}"/>
    <cellStyle name="Comma 4 2 3 5 3" xfId="5435" xr:uid="{00000000-0005-0000-0000-0000A8080000}"/>
    <cellStyle name="Comma 4 2 3 5 3 2" xfId="14761" xr:uid="{CE116F82-9EDD-48A6-93FE-94E61EBA95DB}"/>
    <cellStyle name="Comma 4 2 3 5 4" xfId="10544" xr:uid="{DCF68950-2168-4A29-90E3-2775B15AA701}"/>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0C94D42E-933D-4A2A-8266-DDDCAA9E1A10}"/>
    <cellStyle name="Comma 4 2 3 6 2 3" xfId="13102" xr:uid="{54851DA6-D34A-46A5-AFB7-EFA3657AA4E8}"/>
    <cellStyle name="Comma 4 2 3 6 3" xfId="5848" xr:uid="{00000000-0005-0000-0000-0000AC080000}"/>
    <cellStyle name="Comma 4 2 3 6 3 2" xfId="15174" xr:uid="{64008CE4-598B-4340-8EB2-CD82CD867032}"/>
    <cellStyle name="Comma 4 2 3 6 4" xfId="10957" xr:uid="{52690CCC-1E69-4055-BCBD-5F2F5FD99C90}"/>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6883EAE0-4DCD-4638-86BC-D9A51F987654}"/>
    <cellStyle name="Comma 4 2 3 7 2 3" xfId="13515" xr:uid="{F8103C4A-9672-4785-A5ED-0ADCC175C22C}"/>
    <cellStyle name="Comma 4 2 3 7 3" xfId="6261" xr:uid="{00000000-0005-0000-0000-0000B0080000}"/>
    <cellStyle name="Comma 4 2 3 7 3 2" xfId="15587" xr:uid="{99BBA96F-D0F0-425A-9281-4C74F94799F2}"/>
    <cellStyle name="Comma 4 2 3 7 4" xfId="11370" xr:uid="{604B385F-D305-4862-83D8-A14B02BDCF13}"/>
    <cellStyle name="Comma 4 2 3 8" xfId="2390" xr:uid="{00000000-0005-0000-0000-0000B1080000}"/>
    <cellStyle name="Comma 4 2 3 8 2" xfId="6674" xr:uid="{00000000-0005-0000-0000-0000B2080000}"/>
    <cellStyle name="Comma 4 2 3 8 2 2" xfId="16000" xr:uid="{0F7F6E5E-19EA-46D1-83BD-9CA451D86248}"/>
    <cellStyle name="Comma 4 2 3 8 3" xfId="11783" xr:uid="{B60B1546-BB44-47E9-B0AC-21F3A6F19BA7}"/>
    <cellStyle name="Comma 4 2 3 9" xfId="2373" xr:uid="{00000000-0005-0000-0000-0000B3080000}"/>
    <cellStyle name="Comma 4 2 4" xfId="140" xr:uid="{00000000-0005-0000-0000-0000B4080000}"/>
    <cellStyle name="Comma 4 2 4 10" xfId="4612" xr:uid="{00000000-0005-0000-0000-0000B5080000}"/>
    <cellStyle name="Comma 4 2 4 10 2" xfId="13938" xr:uid="{40617F14-004A-4934-A21C-F31F368D2DC7}"/>
    <cellStyle name="Comma 4 2 4 11" xfId="8858" xr:uid="{B6A00C95-D04C-44B2-B8AF-67540882256C}"/>
    <cellStyle name="Comma 4 2 4 11 2" xfId="18182" xr:uid="{2C53C3E3-D80E-454C-9269-3D22BCE502DF}"/>
    <cellStyle name="Comma 4 2 4 12" xfId="9721" xr:uid="{76BE3200-09E3-49E4-9BF1-B012A919A452}"/>
    <cellStyle name="Comma 4 2 4 2" xfId="141" xr:uid="{00000000-0005-0000-0000-0000B6080000}"/>
    <cellStyle name="Comma 4 2 4 2 10" xfId="9065" xr:uid="{961AA06A-D943-447E-AADB-49B440E7E7CE}"/>
    <cellStyle name="Comma 4 2 4 2 10 2" xfId="18389" xr:uid="{DFAE9C32-EA27-48AA-B334-5B220D24BC44}"/>
    <cellStyle name="Comma 4 2 4 2 11" xfId="9722" xr:uid="{D739799F-C97E-49BF-87A8-5B34C99AC56D}"/>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A881D8AF-5D60-4A5A-A9E4-1DDA969AF352}"/>
    <cellStyle name="Comma 4 2 4 2 2 2 3" xfId="12281" xr:uid="{22BBB0A3-07E7-41BE-8648-0C685571B549}"/>
    <cellStyle name="Comma 4 2 4 2 2 3" xfId="5027" xr:uid="{00000000-0005-0000-0000-0000BA080000}"/>
    <cellStyle name="Comma 4 2 4 2 2 3 2" xfId="14353" xr:uid="{4BCA192C-6A36-4DC0-8095-46850D7CD1F7}"/>
    <cellStyle name="Comma 4 2 4 2 2 4" xfId="9490" xr:uid="{2FAEB1E6-7B41-437B-B2A9-4352AB4F4B98}"/>
    <cellStyle name="Comma 4 2 4 2 2 4 2" xfId="18805" xr:uid="{7B9F630B-59EA-4D00-9359-E6C6C1A97D27}"/>
    <cellStyle name="Comma 4 2 4 2 2 5" xfId="10136" xr:uid="{A0904C6A-C9F5-4BE9-A10A-5A845F4B9B01}"/>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7A1602F2-6563-46E2-B6F8-7EF20C9F3280}"/>
    <cellStyle name="Comma 4 2 4 2 3 2 3" xfId="12694" xr:uid="{46F9C205-8329-49A6-B099-813446B58662}"/>
    <cellStyle name="Comma 4 2 4 2 3 3" xfId="5440" xr:uid="{00000000-0005-0000-0000-0000BE080000}"/>
    <cellStyle name="Comma 4 2 4 2 3 3 2" xfId="14766" xr:uid="{3A6CBF06-0DB3-4119-9A68-36F2C84B0BC9}"/>
    <cellStyle name="Comma 4 2 4 2 3 4" xfId="10549" xr:uid="{DBC99DFB-D3E5-4CCF-ACB3-3662D7F4905D}"/>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11636701-726A-4FF1-A4F8-54A09B29D6AC}"/>
    <cellStyle name="Comma 4 2 4 2 4 2 3" xfId="13107" xr:uid="{E5A2B3FE-E70E-4CDE-ADEE-6EAADEECCF20}"/>
    <cellStyle name="Comma 4 2 4 2 4 3" xfId="5853" xr:uid="{00000000-0005-0000-0000-0000C2080000}"/>
    <cellStyle name="Comma 4 2 4 2 4 3 2" xfId="15179" xr:uid="{41236A54-0856-4E65-9C4C-775BA0159684}"/>
    <cellStyle name="Comma 4 2 4 2 4 4" xfId="10962" xr:uid="{FAB438A1-11D2-411D-B97F-DD797C71CE5E}"/>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C5155C48-D40F-4F4B-A070-B5E8004A4BB0}"/>
    <cellStyle name="Comma 4 2 4 2 5 2 3" xfId="13520" xr:uid="{56C5E84F-DF32-4D1E-BC78-210AF24593C4}"/>
    <cellStyle name="Comma 4 2 4 2 5 3" xfId="6266" xr:uid="{00000000-0005-0000-0000-0000C6080000}"/>
    <cellStyle name="Comma 4 2 4 2 5 3 2" xfId="15592" xr:uid="{355BCD9D-2DE2-478D-A0E4-0C8E17937C0C}"/>
    <cellStyle name="Comma 4 2 4 2 5 4" xfId="11375" xr:uid="{AA57A765-CA64-4438-A45F-BACC0B43F033}"/>
    <cellStyle name="Comma 4 2 4 2 6" xfId="2395" xr:uid="{00000000-0005-0000-0000-0000C7080000}"/>
    <cellStyle name="Comma 4 2 4 2 6 2" xfId="6679" xr:uid="{00000000-0005-0000-0000-0000C8080000}"/>
    <cellStyle name="Comma 4 2 4 2 6 2 2" xfId="16005" xr:uid="{82D320A5-E929-4145-825C-E127BB174BD8}"/>
    <cellStyle name="Comma 4 2 4 2 6 3" xfId="11788" xr:uid="{8B53FEAF-58E7-42F0-A8D0-D1E132479923}"/>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44609CA5-A892-4701-9D38-F27792C71E8C}"/>
    <cellStyle name="Comma 4 2 4 2 8 3" xfId="12105" xr:uid="{029FDDFE-E2FA-4E23-9B50-24B56D592FA2}"/>
    <cellStyle name="Comma 4 2 4 2 9" xfId="4613" xr:uid="{00000000-0005-0000-0000-0000CC080000}"/>
    <cellStyle name="Comma 4 2 4 2 9 2" xfId="13939" xr:uid="{5E372CAE-890C-49AF-B2D5-B1BF68074995}"/>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AB24CF70-589F-4098-8F8A-C4C9E08378FF}"/>
    <cellStyle name="Comma 4 2 4 3 2 3" xfId="12280" xr:uid="{74F1204D-6576-40FE-9A4B-F260C5C059ED}"/>
    <cellStyle name="Comma 4 2 4 3 3" xfId="5026" xr:uid="{00000000-0005-0000-0000-0000D0080000}"/>
    <cellStyle name="Comma 4 2 4 3 3 2" xfId="14352" xr:uid="{1203D57C-19CE-4DFA-B0B5-61E9A9CA89F9}"/>
    <cellStyle name="Comma 4 2 4 3 4" xfId="9283" xr:uid="{7E46ED3C-A8F4-4512-93D9-5F41F1AC397C}"/>
    <cellStyle name="Comma 4 2 4 3 4 2" xfId="18598" xr:uid="{ADD05646-D294-46E2-BF95-DBFC06EBD6F1}"/>
    <cellStyle name="Comma 4 2 4 3 5" xfId="10135" xr:uid="{44AC7361-9AEA-4462-9A65-0BADBADFF005}"/>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43C8DD85-0DB5-42EC-8BBE-1591C55B9190}"/>
    <cellStyle name="Comma 4 2 4 4 2 3" xfId="12693" xr:uid="{045FB369-3579-47B1-B4E8-85592C6D18AF}"/>
    <cellStyle name="Comma 4 2 4 4 3" xfId="5439" xr:uid="{00000000-0005-0000-0000-0000D4080000}"/>
    <cellStyle name="Comma 4 2 4 4 3 2" xfId="14765" xr:uid="{98157B82-E3F4-491A-B9CC-FB96210E2809}"/>
    <cellStyle name="Comma 4 2 4 4 4" xfId="10548" xr:uid="{8E12D697-3E64-4B63-90F0-14FED2B1A9AE}"/>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34257B04-B843-4D32-80BC-1E99CAC23B7B}"/>
    <cellStyle name="Comma 4 2 4 5 2 3" xfId="13106" xr:uid="{91B5C2A4-9845-4381-8653-1ECC2902DBAF}"/>
    <cellStyle name="Comma 4 2 4 5 3" xfId="5852" xr:uid="{00000000-0005-0000-0000-0000D8080000}"/>
    <cellStyle name="Comma 4 2 4 5 3 2" xfId="15178" xr:uid="{4E8525E8-097C-4D06-AA59-55ABC4A61330}"/>
    <cellStyle name="Comma 4 2 4 5 4" xfId="10961" xr:uid="{7C587217-060E-405C-98D6-56A640716922}"/>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F0CC212A-2F34-4F49-825E-A990BB476468}"/>
    <cellStyle name="Comma 4 2 4 6 2 3" xfId="13519" xr:uid="{5F413E3B-947E-46DB-9C9F-43B0BC720BB5}"/>
    <cellStyle name="Comma 4 2 4 6 3" xfId="6265" xr:uid="{00000000-0005-0000-0000-0000DC080000}"/>
    <cellStyle name="Comma 4 2 4 6 3 2" xfId="15591" xr:uid="{5D4762D7-07A3-4D5F-A1BA-9693FA089DE2}"/>
    <cellStyle name="Comma 4 2 4 6 4" xfId="11374" xr:uid="{8F975DFF-2309-44C2-ABE5-E2F086D4D31D}"/>
    <cellStyle name="Comma 4 2 4 7" xfId="2394" xr:uid="{00000000-0005-0000-0000-0000DD080000}"/>
    <cellStyle name="Comma 4 2 4 7 2" xfId="6678" xr:uid="{00000000-0005-0000-0000-0000DE080000}"/>
    <cellStyle name="Comma 4 2 4 7 2 2" xfId="16004" xr:uid="{CD3F2146-FD66-4066-BF34-E095E30CCCF9}"/>
    <cellStyle name="Comma 4 2 4 7 3" xfId="11787" xr:uid="{BFA291D2-F2DE-4381-A21B-639EB01CCAE2}"/>
    <cellStyle name="Comma 4 2 4 8" xfId="2369" xr:uid="{00000000-0005-0000-0000-0000DF080000}"/>
    <cellStyle name="Comma 4 2 4 9" xfId="2772" xr:uid="{00000000-0005-0000-0000-0000E0080000}"/>
    <cellStyle name="Comma 4 2 4 9 2" xfId="6995" xr:uid="{00000000-0005-0000-0000-0000E1080000}"/>
    <cellStyle name="Comma 4 2 4 9 2 2" xfId="16321" xr:uid="{6480D8C6-2565-41F2-A3E1-61FCFE309C6F}"/>
    <cellStyle name="Comma 4 2 4 9 3" xfId="12104" xr:uid="{6769DA3B-8EE0-4C26-8165-962E016C7553}"/>
    <cellStyle name="Comma 4 2 5" xfId="142" xr:uid="{00000000-0005-0000-0000-0000E2080000}"/>
    <cellStyle name="Comma 4 2 5 10" xfId="8974" xr:uid="{86B0C89A-8A2D-4755-B15D-84E412E1D380}"/>
    <cellStyle name="Comma 4 2 5 10 2" xfId="18298" xr:uid="{83843180-94A8-4F0B-859B-22B8B8E544DB}"/>
    <cellStyle name="Comma 4 2 5 11" xfId="9723" xr:uid="{AB873145-1663-4037-A5CE-FA23786B6709}"/>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7724B038-3955-424D-9E61-C31F9EE9A710}"/>
    <cellStyle name="Comma 4 2 5 2 2 3" xfId="12282" xr:uid="{860E06AD-7DE0-4D16-B866-339502774D27}"/>
    <cellStyle name="Comma 4 2 5 2 3" xfId="5028" xr:uid="{00000000-0005-0000-0000-0000E6080000}"/>
    <cellStyle name="Comma 4 2 5 2 3 2" xfId="14354" xr:uid="{9E1E678F-69AC-4D95-A796-D1810E59CA0A}"/>
    <cellStyle name="Comma 4 2 5 2 4" xfId="9399" xr:uid="{1B388BC7-1FC6-4DC3-B345-755F61B57864}"/>
    <cellStyle name="Comma 4 2 5 2 4 2" xfId="18714" xr:uid="{F08C1491-A3EE-43C5-ADE4-B2E87A15546F}"/>
    <cellStyle name="Comma 4 2 5 2 5" xfId="10137" xr:uid="{E5848A99-5242-4E50-BB22-28F212F547B9}"/>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52B6C88C-29AD-457E-937D-A70475C85D84}"/>
    <cellStyle name="Comma 4 2 5 3 2 3" xfId="12695" xr:uid="{4D022E97-372A-46D0-A3C2-93525B45F3E4}"/>
    <cellStyle name="Comma 4 2 5 3 3" xfId="5441" xr:uid="{00000000-0005-0000-0000-0000EA080000}"/>
    <cellStyle name="Comma 4 2 5 3 3 2" xfId="14767" xr:uid="{9EACC0FA-EC3C-4BC2-B512-EA8B648E3F0C}"/>
    <cellStyle name="Comma 4 2 5 3 4" xfId="10550" xr:uid="{C0874422-829C-49C5-B94B-838FCD5E97A2}"/>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F2E3C94B-91E0-4F6D-ADCA-D07518072603}"/>
    <cellStyle name="Comma 4 2 5 4 2 3" xfId="13108" xr:uid="{AA9D558A-6957-4C87-8F9D-CF8308B6BA7C}"/>
    <cellStyle name="Comma 4 2 5 4 3" xfId="5854" xr:uid="{00000000-0005-0000-0000-0000EE080000}"/>
    <cellStyle name="Comma 4 2 5 4 3 2" xfId="15180" xr:uid="{FA5E0927-B02E-4469-ADD9-0FD3D1FA41FA}"/>
    <cellStyle name="Comma 4 2 5 4 4" xfId="10963" xr:uid="{5553828E-62FD-44A9-8E73-C068E52538BC}"/>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1A1BF6DF-B22C-444D-B537-53A553B10DF5}"/>
    <cellStyle name="Comma 4 2 5 5 2 3" xfId="13521" xr:uid="{B2CD2A7E-F14D-437C-99A4-FF74666C3B03}"/>
    <cellStyle name="Comma 4 2 5 5 3" xfId="6267" xr:uid="{00000000-0005-0000-0000-0000F2080000}"/>
    <cellStyle name="Comma 4 2 5 5 3 2" xfId="15593" xr:uid="{DCC41575-1F18-48A5-8582-670354DA412A}"/>
    <cellStyle name="Comma 4 2 5 5 4" xfId="11376" xr:uid="{8CC4E93C-DC61-453C-B4D3-E407933DAB80}"/>
    <cellStyle name="Comma 4 2 5 6" xfId="2396" xr:uid="{00000000-0005-0000-0000-0000F3080000}"/>
    <cellStyle name="Comma 4 2 5 6 2" xfId="6680" xr:uid="{00000000-0005-0000-0000-0000F4080000}"/>
    <cellStyle name="Comma 4 2 5 6 2 2" xfId="16006" xr:uid="{7D3D04A0-1181-4976-B38E-B1479E0B4619}"/>
    <cellStyle name="Comma 4 2 5 6 3" xfId="11789" xr:uid="{AF13B127-26D0-4F65-A93C-4494B8D3157C}"/>
    <cellStyle name="Comma 4 2 5 7" xfId="2367" xr:uid="{00000000-0005-0000-0000-0000F5080000}"/>
    <cellStyle name="Comma 4 2 5 8" xfId="2774" xr:uid="{00000000-0005-0000-0000-0000F6080000}"/>
    <cellStyle name="Comma 4 2 5 8 2" xfId="6997" xr:uid="{00000000-0005-0000-0000-0000F7080000}"/>
    <cellStyle name="Comma 4 2 5 8 2 2" xfId="16323" xr:uid="{EDFABF09-A82F-4B5C-A7DA-17AF977ABD9B}"/>
    <cellStyle name="Comma 4 2 5 8 3" xfId="12106" xr:uid="{ED9323F2-6CD5-4D9C-8525-7DE53B849AF0}"/>
    <cellStyle name="Comma 4 2 5 9" xfId="4614" xr:uid="{00000000-0005-0000-0000-0000F8080000}"/>
    <cellStyle name="Comma 4 2 5 9 2" xfId="13940" xr:uid="{5980155D-3513-47C8-94AE-212AF3550178}"/>
    <cellStyle name="Comma 4 2 6" xfId="143" xr:uid="{00000000-0005-0000-0000-0000F9080000}"/>
    <cellStyle name="Comma 4 2 6 10" xfId="9177" xr:uid="{A20A3B72-7630-464F-8E57-DA2B9D6E44FB}"/>
    <cellStyle name="Comma 4 2 6 10 2" xfId="18495" xr:uid="{602E1125-73AA-4C2E-B05F-4A207B7BB31A}"/>
    <cellStyle name="Comma 4 2 6 11" xfId="9724" xr:uid="{49344244-3A07-4AB6-9E72-320374CCB33D}"/>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617AA01F-39F4-4991-ACE8-D4C9B0B36681}"/>
    <cellStyle name="Comma 4 2 6 2 2 3" xfId="12283" xr:uid="{49141330-65E2-43CE-8BBC-71E3DC1E6EC5}"/>
    <cellStyle name="Comma 4 2 6 2 3" xfId="5029" xr:uid="{00000000-0005-0000-0000-0000FD080000}"/>
    <cellStyle name="Comma 4 2 6 2 3 2" xfId="14355" xr:uid="{175A4547-3BCC-4C03-AC41-26733BEB4698}"/>
    <cellStyle name="Comma 4 2 6 2 4" xfId="9594" xr:uid="{CCB8D3FE-19FC-4F7F-9966-44FD23A1A32A}"/>
    <cellStyle name="Comma 4 2 6 2 4 2" xfId="18898" xr:uid="{8BA957A8-7B2F-4110-9901-6341A410B3CF}"/>
    <cellStyle name="Comma 4 2 6 2 5" xfId="10138" xr:uid="{178767E7-EB9C-4CC2-8555-F158B3BDC45F}"/>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A576943C-54CD-445F-8A26-8622F9F59BCD}"/>
    <cellStyle name="Comma 4 2 6 3 2 3" xfId="12696" xr:uid="{53B62B93-87C0-45C8-AB9D-F22ACDFD89E3}"/>
    <cellStyle name="Comma 4 2 6 3 3" xfId="5442" xr:uid="{00000000-0005-0000-0000-000001090000}"/>
    <cellStyle name="Comma 4 2 6 3 3 2" xfId="14768" xr:uid="{B27ACC9A-9F7C-4207-A81A-C70664CEB62B}"/>
    <cellStyle name="Comma 4 2 6 3 4" xfId="10551" xr:uid="{6A51130A-BA84-4A3A-8353-4E1AEE7577E0}"/>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A30012F5-FB56-4B4B-9835-E891E9BE01D3}"/>
    <cellStyle name="Comma 4 2 6 4 2 3" xfId="13109" xr:uid="{86E5383A-3865-4FDB-AEB6-C78BAF0A53B0}"/>
    <cellStyle name="Comma 4 2 6 4 3" xfId="5855" xr:uid="{00000000-0005-0000-0000-000005090000}"/>
    <cellStyle name="Comma 4 2 6 4 3 2" xfId="15181" xr:uid="{11192FA6-9CB1-4BED-9AF2-3FA43D911A9D}"/>
    <cellStyle name="Comma 4 2 6 4 4" xfId="10964" xr:uid="{31B6FB9D-75A7-41E1-BDB6-6B2FD6B23EB3}"/>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79E3C0B6-C591-439C-9C15-DF53E34393DA}"/>
    <cellStyle name="Comma 4 2 6 5 2 3" xfId="13522" xr:uid="{B281033F-70F4-4AE0-A765-66CAD6EB0D4D}"/>
    <cellStyle name="Comma 4 2 6 5 3" xfId="6268" xr:uid="{00000000-0005-0000-0000-000009090000}"/>
    <cellStyle name="Comma 4 2 6 5 3 2" xfId="15594" xr:uid="{C060CF9B-D298-4B2B-B621-EDCDB86E4BF9}"/>
    <cellStyle name="Comma 4 2 6 5 4" xfId="11377" xr:uid="{19D8ADF9-C3E5-4778-BA30-385D0AF3751C}"/>
    <cellStyle name="Comma 4 2 6 6" xfId="2397" xr:uid="{00000000-0005-0000-0000-00000A090000}"/>
    <cellStyle name="Comma 4 2 6 6 2" xfId="6681" xr:uid="{00000000-0005-0000-0000-00000B090000}"/>
    <cellStyle name="Comma 4 2 6 6 2 2" xfId="16007" xr:uid="{01065493-57EC-43AF-8BCA-1F59B0D66246}"/>
    <cellStyle name="Comma 4 2 6 6 3" xfId="11790" xr:uid="{ABC0BCAB-2740-4E98-A5A1-B164E041CE58}"/>
    <cellStyle name="Comma 4 2 6 7" xfId="2366" xr:uid="{00000000-0005-0000-0000-00000C090000}"/>
    <cellStyle name="Comma 4 2 6 8" xfId="2775" xr:uid="{00000000-0005-0000-0000-00000D090000}"/>
    <cellStyle name="Comma 4 2 6 8 2" xfId="6998" xr:uid="{00000000-0005-0000-0000-00000E090000}"/>
    <cellStyle name="Comma 4 2 6 8 2 2" xfId="16324" xr:uid="{FADC3445-BE6D-4F72-B371-820D5E83E96C}"/>
    <cellStyle name="Comma 4 2 6 8 3" xfId="12107" xr:uid="{0C2EACCA-A4D4-428F-88BF-F7DBB346F179}"/>
    <cellStyle name="Comma 4 2 6 9" xfId="4615" xr:uid="{00000000-0005-0000-0000-00000F090000}"/>
    <cellStyle name="Comma 4 2 6 9 2" xfId="13941" xr:uid="{7BED0AC7-722E-4AEA-A4E1-89418DAC3DA7}"/>
    <cellStyle name="Comma 4 2 7" xfId="9190" xr:uid="{C8B7F6BD-E2DD-41C7-A6AF-A5C7B900A7ED}"/>
    <cellStyle name="Comma 4 2 8" xfId="8755" xr:uid="{40286204-C766-4116-8542-387551AD6364}"/>
    <cellStyle name="Comma 4 2 8 2" xfId="18079" xr:uid="{4C9A0E2F-AF49-42FF-8FBB-2725FAF8530A}"/>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15ABD4A0-9AB2-4EAE-98E7-D7A173C37725}"/>
    <cellStyle name="Comma 4 3 2 10 3" xfId="12108" xr:uid="{91284A4B-4BC3-46FB-85F7-35E06E909905}"/>
    <cellStyle name="Comma 4 3 2 11" xfId="4616" xr:uid="{00000000-0005-0000-0000-000014090000}"/>
    <cellStyle name="Comma 4 3 2 11 2" xfId="13942" xr:uid="{1B892501-8B68-40CB-A923-F5684DBD5992}"/>
    <cellStyle name="Comma 4 3 2 12" xfId="8807" xr:uid="{5C5EF314-D0DB-425B-AE7D-D52FEEE90EC1}"/>
    <cellStyle name="Comma 4 3 2 12 2" xfId="18131" xr:uid="{4594425B-FCBC-409B-B063-1382ACBFBA63}"/>
    <cellStyle name="Comma 4 3 2 13" xfId="9725" xr:uid="{B6CEE97A-6A98-489F-96DD-9CF6AAA26FEC}"/>
    <cellStyle name="Comma 4 3 2 2" xfId="146" xr:uid="{00000000-0005-0000-0000-000015090000}"/>
    <cellStyle name="Comma 4 3 2 2 10" xfId="4617" xr:uid="{00000000-0005-0000-0000-000016090000}"/>
    <cellStyle name="Comma 4 3 2 2 10 2" xfId="13943" xr:uid="{9B207F2B-7569-4679-A9B1-DFB85BE25E4D}"/>
    <cellStyle name="Comma 4 3 2 2 11" xfId="8910" xr:uid="{15019DD0-71A0-438D-B796-68DE42B22692}"/>
    <cellStyle name="Comma 4 3 2 2 11 2" xfId="18234" xr:uid="{E293FD77-2F74-4C44-B39A-CD8BC2C11BEE}"/>
    <cellStyle name="Comma 4 3 2 2 12" xfId="9726" xr:uid="{3757BE13-A94F-48E4-9F6C-F5976C2CD784}"/>
    <cellStyle name="Comma 4 3 2 2 2" xfId="147" xr:uid="{00000000-0005-0000-0000-000017090000}"/>
    <cellStyle name="Comma 4 3 2 2 2 10" xfId="9117" xr:uid="{1409F531-DBF2-41E0-9C74-F9317358BA15}"/>
    <cellStyle name="Comma 4 3 2 2 2 10 2" xfId="18441" xr:uid="{96B1B931-1DB3-4226-9519-BB5AA8B9F69C}"/>
    <cellStyle name="Comma 4 3 2 2 2 11" xfId="9727" xr:uid="{BE0E748E-F182-40B7-B2C9-E36A86A0FDF1}"/>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7A9239B3-3A7C-4D26-A942-102A1AD3B4CF}"/>
    <cellStyle name="Comma 4 3 2 2 2 2 2 3" xfId="12286" xr:uid="{2E1C6EE6-F852-4BA5-BD68-0D07693501DB}"/>
    <cellStyle name="Comma 4 3 2 2 2 2 3" xfId="5032" xr:uid="{00000000-0005-0000-0000-00001B090000}"/>
    <cellStyle name="Comma 4 3 2 2 2 2 3 2" xfId="14358" xr:uid="{58877EC1-D51B-4F23-ABA6-910CA8E0538B}"/>
    <cellStyle name="Comma 4 3 2 2 2 2 4" xfId="9542" xr:uid="{26CD77CC-F017-4839-8245-BBF245D45E53}"/>
    <cellStyle name="Comma 4 3 2 2 2 2 4 2" xfId="18857" xr:uid="{8784096C-2FA2-45E1-8D8F-E2F48A89C8C7}"/>
    <cellStyle name="Comma 4 3 2 2 2 2 5" xfId="10141" xr:uid="{F2159F19-F720-4100-BDE2-BC5A22EEC04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F2D74A33-F653-4013-8E24-E2E279854D70}"/>
    <cellStyle name="Comma 4 3 2 2 2 3 2 3" xfId="12699" xr:uid="{6C743839-FE33-4296-A74A-B11FE846F74C}"/>
    <cellStyle name="Comma 4 3 2 2 2 3 3" xfId="5445" xr:uid="{00000000-0005-0000-0000-00001F090000}"/>
    <cellStyle name="Comma 4 3 2 2 2 3 3 2" xfId="14771" xr:uid="{2055A7E0-F25E-4624-AF96-6DC9E9D7A5DD}"/>
    <cellStyle name="Comma 4 3 2 2 2 3 4" xfId="10554" xr:uid="{ABE913AA-1EE1-4C5B-9047-43D57F39F7A5}"/>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AD91003F-A522-4171-8770-93DED8FFEE15}"/>
    <cellStyle name="Comma 4 3 2 2 2 4 2 3" xfId="13112" xr:uid="{0D891A1B-F660-4DDB-89CC-D0124C8CECB9}"/>
    <cellStyle name="Comma 4 3 2 2 2 4 3" xfId="5858" xr:uid="{00000000-0005-0000-0000-000023090000}"/>
    <cellStyle name="Comma 4 3 2 2 2 4 3 2" xfId="15184" xr:uid="{1D64DC2F-5E1F-4A20-B3C6-F5D47F5A30F5}"/>
    <cellStyle name="Comma 4 3 2 2 2 4 4" xfId="10967" xr:uid="{9BF4EE90-7328-46E9-A664-C45D69B3861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4DCE7B54-EB15-41D0-9C6D-F56FABAAD149}"/>
    <cellStyle name="Comma 4 3 2 2 2 5 2 3" xfId="13525" xr:uid="{BDD3E54E-0247-4E1A-A46D-8E3E234372F3}"/>
    <cellStyle name="Comma 4 3 2 2 2 5 3" xfId="6271" xr:uid="{00000000-0005-0000-0000-000027090000}"/>
    <cellStyle name="Comma 4 3 2 2 2 5 3 2" xfId="15597" xr:uid="{34C903A2-FA46-4A4E-8529-8CA8E9F15901}"/>
    <cellStyle name="Comma 4 3 2 2 2 5 4" xfId="11380" xr:uid="{5AAC2FCD-BF2A-4F20-9BDD-E682A4B0656F}"/>
    <cellStyle name="Comma 4 3 2 2 2 6" xfId="2400" xr:uid="{00000000-0005-0000-0000-000028090000}"/>
    <cellStyle name="Comma 4 3 2 2 2 6 2" xfId="6684" xr:uid="{00000000-0005-0000-0000-000029090000}"/>
    <cellStyle name="Comma 4 3 2 2 2 6 2 2" xfId="16010" xr:uid="{4EF4E889-0793-4FAD-8C74-3CA9C8D03BA0}"/>
    <cellStyle name="Comma 4 3 2 2 2 6 3" xfId="11793" xr:uid="{F35EED1D-03DF-4A77-ABEB-4D85F1F09F54}"/>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C65BCA47-A19F-4B07-8B49-414F9BC40CCB}"/>
    <cellStyle name="Comma 4 3 2 2 2 8 3" xfId="12110" xr:uid="{F02711D8-1661-460C-AA32-63C4213ED70B}"/>
    <cellStyle name="Comma 4 3 2 2 2 9" xfId="4618" xr:uid="{00000000-0005-0000-0000-00002D090000}"/>
    <cellStyle name="Comma 4 3 2 2 2 9 2" xfId="13944" xr:uid="{31C73C50-8F73-4C24-8648-4D2520F337FE}"/>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3822DDAA-202B-4E2E-BA69-AD18A671C544}"/>
    <cellStyle name="Comma 4 3 2 2 3 2 3" xfId="12285" xr:uid="{CC05744D-73B1-4F34-8204-25C2067B28E6}"/>
    <cellStyle name="Comma 4 3 2 2 3 3" xfId="5031" xr:uid="{00000000-0005-0000-0000-000031090000}"/>
    <cellStyle name="Comma 4 3 2 2 3 3 2" xfId="14357" xr:uid="{49717CD5-0706-44FB-B2D8-01386895E11D}"/>
    <cellStyle name="Comma 4 3 2 2 3 4" xfId="9335" xr:uid="{BACD532B-C811-4076-B107-03E74D1B7113}"/>
    <cellStyle name="Comma 4 3 2 2 3 4 2" xfId="18650" xr:uid="{5A096C02-2B88-4855-9028-DB0D37C4815C}"/>
    <cellStyle name="Comma 4 3 2 2 3 5" xfId="10140" xr:uid="{923A41E1-3DCD-4C25-BAB5-C0C8713840CF}"/>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335D22A5-CBB8-4E49-B6E6-DF86AC9EADD2}"/>
    <cellStyle name="Comma 4 3 2 2 4 2 3" xfId="12698" xr:uid="{1D0C838D-4D58-4DF0-A3FC-CC5513DB881F}"/>
    <cellStyle name="Comma 4 3 2 2 4 3" xfId="5444" xr:uid="{00000000-0005-0000-0000-000035090000}"/>
    <cellStyle name="Comma 4 3 2 2 4 3 2" xfId="14770" xr:uid="{A6B52885-1150-45E0-9B34-DB6F3EBD2FD3}"/>
    <cellStyle name="Comma 4 3 2 2 4 4" xfId="10553" xr:uid="{F6E9DD36-7A3D-47C4-8825-3E4FAA46AE4C}"/>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2C4E769D-5212-480A-B472-159ED9B4CD06}"/>
    <cellStyle name="Comma 4 3 2 2 5 2 3" xfId="13111" xr:uid="{B962E47A-9325-41A9-ACBF-C11C3C3FBEC5}"/>
    <cellStyle name="Comma 4 3 2 2 5 3" xfId="5857" xr:uid="{00000000-0005-0000-0000-000039090000}"/>
    <cellStyle name="Comma 4 3 2 2 5 3 2" xfId="15183" xr:uid="{04FCEF80-0C0A-4BF1-AB2A-BFD7344DE9FD}"/>
    <cellStyle name="Comma 4 3 2 2 5 4" xfId="10966" xr:uid="{4CEF429C-1C44-4877-A77F-A7193F29D6D3}"/>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0874775D-83F6-40BC-8146-F87412802411}"/>
    <cellStyle name="Comma 4 3 2 2 6 2 3" xfId="13524" xr:uid="{05A0D84C-0255-4F64-921D-5D02F7D002B8}"/>
    <cellStyle name="Comma 4 3 2 2 6 3" xfId="6270" xr:uid="{00000000-0005-0000-0000-00003D090000}"/>
    <cellStyle name="Comma 4 3 2 2 6 3 2" xfId="15596" xr:uid="{6CD21CBA-6FA9-4C62-9965-9A9F140731B0}"/>
    <cellStyle name="Comma 4 3 2 2 6 4" xfId="11379" xr:uid="{07CB315D-6A1C-43DF-B1ED-EF0BC3169F82}"/>
    <cellStyle name="Comma 4 3 2 2 7" xfId="2399" xr:uid="{00000000-0005-0000-0000-00003E090000}"/>
    <cellStyle name="Comma 4 3 2 2 7 2" xfId="6683" xr:uid="{00000000-0005-0000-0000-00003F090000}"/>
    <cellStyle name="Comma 4 3 2 2 7 2 2" xfId="16009" xr:uid="{5AD020FC-30F2-41E7-87B0-088CF063DA89}"/>
    <cellStyle name="Comma 4 3 2 2 7 3" xfId="11792" xr:uid="{211EE39D-D348-4C09-804C-6B5FBD75122B}"/>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109C4A48-D050-4B59-96BE-BCCAB872BE92}"/>
    <cellStyle name="Comma 4 3 2 2 9 3" xfId="12109" xr:uid="{A55E20FE-9D73-44B0-B4AA-F79EA354E205}"/>
    <cellStyle name="Comma 4 3 2 3" xfId="148" xr:uid="{00000000-0005-0000-0000-000043090000}"/>
    <cellStyle name="Comma 4 3 2 3 10" xfId="9014" xr:uid="{46568903-2C47-4BC3-8E78-5A47F62B319C}"/>
    <cellStyle name="Comma 4 3 2 3 10 2" xfId="18338" xr:uid="{04681E6C-AF01-49AB-9D6F-A3803B87E6EF}"/>
    <cellStyle name="Comma 4 3 2 3 11" xfId="9728" xr:uid="{B56C779C-23FD-44BC-B525-C5638FA02B1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5E0204A1-ED38-4782-A3B3-54B325649AD8}"/>
    <cellStyle name="Comma 4 3 2 3 2 2 3" xfId="12287" xr:uid="{C1878928-4BE0-4825-BB38-07F29254B7F7}"/>
    <cellStyle name="Comma 4 3 2 3 2 3" xfId="5033" xr:uid="{00000000-0005-0000-0000-000047090000}"/>
    <cellStyle name="Comma 4 3 2 3 2 3 2" xfId="14359" xr:uid="{BA695805-520E-4252-9E2A-892C7C9D1603}"/>
    <cellStyle name="Comma 4 3 2 3 2 4" xfId="9439" xr:uid="{2FD116B5-6902-4630-AFC5-CC8B06C5F457}"/>
    <cellStyle name="Comma 4 3 2 3 2 4 2" xfId="18754" xr:uid="{962DEDDE-CE3F-4B05-9D26-5995676E73F8}"/>
    <cellStyle name="Comma 4 3 2 3 2 5" xfId="10142" xr:uid="{0FFF6A17-EB77-48C1-A608-3D6B718C7419}"/>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C3739C18-ED28-4F94-8399-158BF43A5351}"/>
    <cellStyle name="Comma 4 3 2 3 3 2 3" xfId="12700" xr:uid="{D01345F5-873F-4FAA-9DA0-9657D44CB98C}"/>
    <cellStyle name="Comma 4 3 2 3 3 3" xfId="5446" xr:uid="{00000000-0005-0000-0000-00004B090000}"/>
    <cellStyle name="Comma 4 3 2 3 3 3 2" xfId="14772" xr:uid="{C1CD7C48-42C2-4DA0-89F3-F1FE0796B32F}"/>
    <cellStyle name="Comma 4 3 2 3 3 4" xfId="10555" xr:uid="{B65B3CC0-6052-4AD4-B6FB-BE0948167750}"/>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B1C97762-8EC1-4084-9879-2A36C2888F4E}"/>
    <cellStyle name="Comma 4 3 2 3 4 2 3" xfId="13113" xr:uid="{A1D2034C-B9A8-45DD-A8D8-6D3220EDB029}"/>
    <cellStyle name="Comma 4 3 2 3 4 3" xfId="5859" xr:uid="{00000000-0005-0000-0000-00004F090000}"/>
    <cellStyle name="Comma 4 3 2 3 4 3 2" xfId="15185" xr:uid="{42A866FA-EE99-4F34-9349-1D449D8C36B0}"/>
    <cellStyle name="Comma 4 3 2 3 4 4" xfId="10968" xr:uid="{37B71E69-B097-4B78-B806-C681A917F6E3}"/>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39D41E55-DAE3-48A4-9376-6F9B9C66F0A1}"/>
    <cellStyle name="Comma 4 3 2 3 5 2 3" xfId="13526" xr:uid="{948FDB26-2AC2-43E8-ADBD-5FFC83C8A71C}"/>
    <cellStyle name="Comma 4 3 2 3 5 3" xfId="6272" xr:uid="{00000000-0005-0000-0000-000053090000}"/>
    <cellStyle name="Comma 4 3 2 3 5 3 2" xfId="15598" xr:uid="{157E132A-98F1-4BF2-AD77-42C76AA28A10}"/>
    <cellStyle name="Comma 4 3 2 3 5 4" xfId="11381" xr:uid="{F6E3411B-E253-4633-BEB0-91943C24AC53}"/>
    <cellStyle name="Comma 4 3 2 3 6" xfId="2401" xr:uid="{00000000-0005-0000-0000-000054090000}"/>
    <cellStyle name="Comma 4 3 2 3 6 2" xfId="6685" xr:uid="{00000000-0005-0000-0000-000055090000}"/>
    <cellStyle name="Comma 4 3 2 3 6 2 2" xfId="16011" xr:uid="{D9B8D8EF-B593-4EBB-9782-CE7D2E0F0520}"/>
    <cellStyle name="Comma 4 3 2 3 6 3" xfId="11794" xr:uid="{3B663D0F-187A-4F51-8E7B-4911CAD12C46}"/>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A5E67251-90A5-485D-A289-0AF466A562ED}"/>
    <cellStyle name="Comma 4 3 2 3 8 3" xfId="12111" xr:uid="{1F4708ED-9DBF-479B-9A6D-4B52A2B54D95}"/>
    <cellStyle name="Comma 4 3 2 3 9" xfId="4619" xr:uid="{00000000-0005-0000-0000-000059090000}"/>
    <cellStyle name="Comma 4 3 2 3 9 2" xfId="13945" xr:uid="{BD23677C-534A-4CEF-8B26-97E0D77F4FBD}"/>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55FDC9CD-5A2F-4EF7-A046-A41756557698}"/>
    <cellStyle name="Comma 4 3 2 4 2 3" xfId="12284" xr:uid="{3D1EC379-1105-4D3B-9AA7-8CD337EC6E1E}"/>
    <cellStyle name="Comma 4 3 2 4 3" xfId="5030" xr:uid="{00000000-0005-0000-0000-00005D090000}"/>
    <cellStyle name="Comma 4 3 2 4 3 2" xfId="14356" xr:uid="{83EA383C-EAD5-4DE9-9450-9E2E0A9F8ABB}"/>
    <cellStyle name="Comma 4 3 2 4 4" xfId="9232" xr:uid="{8193451B-D8F0-40BD-91ED-34E7041117F6}"/>
    <cellStyle name="Comma 4 3 2 4 4 2" xfId="18547" xr:uid="{884502ED-449B-4D8B-8A91-8F2894A60079}"/>
    <cellStyle name="Comma 4 3 2 4 5" xfId="10139" xr:uid="{4F3018AA-E89A-4803-ABDF-B7E8F8C43DCF}"/>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A39A9885-2004-422C-A29F-96AC4B8C69C3}"/>
    <cellStyle name="Comma 4 3 2 5 2 3" xfId="12697" xr:uid="{910C7728-81FD-4590-8A21-C5B9B7DDCB1B}"/>
    <cellStyle name="Comma 4 3 2 5 3" xfId="5443" xr:uid="{00000000-0005-0000-0000-000061090000}"/>
    <cellStyle name="Comma 4 3 2 5 3 2" xfId="14769" xr:uid="{CBC46C8B-364C-4F3C-B5EF-8ED33C7E9104}"/>
    <cellStyle name="Comma 4 3 2 5 4" xfId="10552" xr:uid="{2CD51998-02CE-47A3-A09E-AE6239150C87}"/>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BEF2C9E7-027F-447F-9ED7-E2FCF252C25A}"/>
    <cellStyle name="Comma 4 3 2 6 2 3" xfId="13110" xr:uid="{9BA67B84-115D-41A5-9EBF-C74200CFD65A}"/>
    <cellStyle name="Comma 4 3 2 6 3" xfId="5856" xr:uid="{00000000-0005-0000-0000-000065090000}"/>
    <cellStyle name="Comma 4 3 2 6 3 2" xfId="15182" xr:uid="{823A8F8C-F28B-4134-BACE-0C6DF0502E02}"/>
    <cellStyle name="Comma 4 3 2 6 4" xfId="10965" xr:uid="{51CA9DCE-9A62-4F79-9B54-BE1A621C4B7C}"/>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D36D8F52-B185-44DB-900B-4D33F81A0EE3}"/>
    <cellStyle name="Comma 4 3 2 7 2 3" xfId="13523" xr:uid="{E4418F8A-558C-46AC-B25F-DB28B184B2B8}"/>
    <cellStyle name="Comma 4 3 2 7 3" xfId="6269" xr:uid="{00000000-0005-0000-0000-000069090000}"/>
    <cellStyle name="Comma 4 3 2 7 3 2" xfId="15595" xr:uid="{1C0A09A1-F64C-4B53-AEED-C83EE45EC1F3}"/>
    <cellStyle name="Comma 4 3 2 7 4" xfId="11378" xr:uid="{6716A6CC-135A-45EE-B6A4-CFD8868C0CE8}"/>
    <cellStyle name="Comma 4 3 2 8" xfId="2398" xr:uid="{00000000-0005-0000-0000-00006A090000}"/>
    <cellStyle name="Comma 4 3 2 8 2" xfId="6682" xr:uid="{00000000-0005-0000-0000-00006B090000}"/>
    <cellStyle name="Comma 4 3 2 8 2 2" xfId="16008" xr:uid="{B380753F-3479-47D9-A1C9-7419E3CB8691}"/>
    <cellStyle name="Comma 4 3 2 8 3" xfId="11791" xr:uid="{B27D0E32-F075-4AE5-A148-E2211DC50BF4}"/>
    <cellStyle name="Comma 4 3 2 9" xfId="2365" xr:uid="{00000000-0005-0000-0000-00006C090000}"/>
    <cellStyle name="Comma 4 3 3" xfId="149" xr:uid="{00000000-0005-0000-0000-00006D090000}"/>
    <cellStyle name="Comma 4 3 3 10" xfId="4620" xr:uid="{00000000-0005-0000-0000-00006E090000}"/>
    <cellStyle name="Comma 4 3 3 10 2" xfId="13946" xr:uid="{29A52E97-9150-4EFA-A1F7-F481624055C1}"/>
    <cellStyle name="Comma 4 3 3 11" xfId="8881" xr:uid="{ACA3BC7C-CED7-49C2-9DC3-E2A3989962E9}"/>
    <cellStyle name="Comma 4 3 3 11 2" xfId="18205" xr:uid="{C33B0E3C-43D4-437E-956C-095CDE800309}"/>
    <cellStyle name="Comma 4 3 3 12" xfId="9729" xr:uid="{04E5EC74-9A54-495C-AFB9-22EF89753065}"/>
    <cellStyle name="Comma 4 3 3 2" xfId="150" xr:uid="{00000000-0005-0000-0000-00006F090000}"/>
    <cellStyle name="Comma 4 3 3 2 10" xfId="9088" xr:uid="{D40CFC42-DEA3-4A4C-8532-2B6CFC29229D}"/>
    <cellStyle name="Comma 4 3 3 2 10 2" xfId="18412" xr:uid="{FB4C99C4-509A-4546-B1CB-F71431A0827D}"/>
    <cellStyle name="Comma 4 3 3 2 11" xfId="9730" xr:uid="{B15E5B95-32C2-42D7-BA1D-8478A6954FA3}"/>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5CF4E685-A389-4215-86C3-79C8C59E34D4}"/>
    <cellStyle name="Comma 4 3 3 2 2 2 3" xfId="12289" xr:uid="{467BC9BF-5A54-4EFE-9E39-BC3CC3A04835}"/>
    <cellStyle name="Comma 4 3 3 2 2 3" xfId="5035" xr:uid="{00000000-0005-0000-0000-000073090000}"/>
    <cellStyle name="Comma 4 3 3 2 2 3 2" xfId="14361" xr:uid="{8C0B0CFD-17CD-48CF-BB38-271900A2E406}"/>
    <cellStyle name="Comma 4 3 3 2 2 4" xfId="9513" xr:uid="{986E0DAD-8ABC-4DAC-9C56-EF87B6B3B829}"/>
    <cellStyle name="Comma 4 3 3 2 2 4 2" xfId="18828" xr:uid="{FCB0061B-CD29-4AB2-8174-AA2F4B719490}"/>
    <cellStyle name="Comma 4 3 3 2 2 5" xfId="10144" xr:uid="{B62105F9-2516-49C5-B14C-28B7865076EC}"/>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4154704E-286E-4176-9CCC-113FE7C0C6BC}"/>
    <cellStyle name="Comma 4 3 3 2 3 2 3" xfId="12702" xr:uid="{A8F5FE98-DAE7-465C-BB6B-3FE29D6CD179}"/>
    <cellStyle name="Comma 4 3 3 2 3 3" xfId="5448" xr:uid="{00000000-0005-0000-0000-000077090000}"/>
    <cellStyle name="Comma 4 3 3 2 3 3 2" xfId="14774" xr:uid="{82157136-C213-4AC9-AB8D-B79C2CB39F97}"/>
    <cellStyle name="Comma 4 3 3 2 3 4" xfId="10557" xr:uid="{03B50113-98CC-4B60-B68E-9595542D123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81215272-0355-491B-BABA-5EAD7D3AD3D2}"/>
    <cellStyle name="Comma 4 3 3 2 4 2 3" xfId="13115" xr:uid="{42D8261A-7BFA-413D-84E5-A9E231C1B215}"/>
    <cellStyle name="Comma 4 3 3 2 4 3" xfId="5861" xr:uid="{00000000-0005-0000-0000-00007B090000}"/>
    <cellStyle name="Comma 4 3 3 2 4 3 2" xfId="15187" xr:uid="{E56D3213-63E2-4B62-A968-B0CF9B593D2A}"/>
    <cellStyle name="Comma 4 3 3 2 4 4" xfId="10970" xr:uid="{13ECD417-D93B-45F6-A9AA-E6A11B58C39E}"/>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A958623C-5F53-418C-AF24-7C894B0765F7}"/>
    <cellStyle name="Comma 4 3 3 2 5 2 3" xfId="13528" xr:uid="{69ADF754-C90E-42D4-AE12-7D6C9E4E5DEC}"/>
    <cellStyle name="Comma 4 3 3 2 5 3" xfId="6274" xr:uid="{00000000-0005-0000-0000-00007F090000}"/>
    <cellStyle name="Comma 4 3 3 2 5 3 2" xfId="15600" xr:uid="{B259AB8D-6CCF-42DE-8FF8-56FDAB497D7E}"/>
    <cellStyle name="Comma 4 3 3 2 5 4" xfId="11383" xr:uid="{15F24A80-810C-4954-9D44-CFB745CB7B8C}"/>
    <cellStyle name="Comma 4 3 3 2 6" xfId="2403" xr:uid="{00000000-0005-0000-0000-000080090000}"/>
    <cellStyle name="Comma 4 3 3 2 6 2" xfId="6687" xr:uid="{00000000-0005-0000-0000-000081090000}"/>
    <cellStyle name="Comma 4 3 3 2 6 2 2" xfId="16013" xr:uid="{FB6B6E4C-DB65-407A-A02F-8CA4EB35A765}"/>
    <cellStyle name="Comma 4 3 3 2 6 3" xfId="11796" xr:uid="{FDE9F016-5718-4852-9903-6309E725B0D7}"/>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A89C1A7E-91E6-4454-A801-B8D87B292F40}"/>
    <cellStyle name="Comma 4 3 3 2 8 3" xfId="12113" xr:uid="{84AC8AFB-FACE-4D92-8014-DC552AEA1652}"/>
    <cellStyle name="Comma 4 3 3 2 9" xfId="4621" xr:uid="{00000000-0005-0000-0000-000085090000}"/>
    <cellStyle name="Comma 4 3 3 2 9 2" xfId="13947" xr:uid="{FAAC0C63-0EF6-4E09-B673-E6EC024D2163}"/>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19C7E4E1-1BC6-454D-A15C-576DC668463C}"/>
    <cellStyle name="Comma 4 3 3 3 2 3" xfId="12288" xr:uid="{6B352C52-2891-4C78-ABAB-361092AE0B79}"/>
    <cellStyle name="Comma 4 3 3 3 3" xfId="5034" xr:uid="{00000000-0005-0000-0000-000089090000}"/>
    <cellStyle name="Comma 4 3 3 3 3 2" xfId="14360" xr:uid="{584D3B89-BF11-4412-81AA-D043FBBAC92E}"/>
    <cellStyle name="Comma 4 3 3 3 4" xfId="9306" xr:uid="{6AC2749B-EC1D-4760-AD4B-F36381A669B6}"/>
    <cellStyle name="Comma 4 3 3 3 4 2" xfId="18621" xr:uid="{32057DE0-A36D-4A69-BFF3-35295A9372C0}"/>
    <cellStyle name="Comma 4 3 3 3 5" xfId="10143" xr:uid="{6C07A6CF-51E1-4B6A-B031-078BD694A50C}"/>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12405BFA-4536-4199-BD47-E819BB2FD7A4}"/>
    <cellStyle name="Comma 4 3 3 4 2 3" xfId="12701" xr:uid="{0A029D27-BF2B-45DF-9F80-5AF249F5ED1D}"/>
    <cellStyle name="Comma 4 3 3 4 3" xfId="5447" xr:uid="{00000000-0005-0000-0000-00008D090000}"/>
    <cellStyle name="Comma 4 3 3 4 3 2" xfId="14773" xr:uid="{285B4345-B418-4830-BA6C-8F2126EEF54E}"/>
    <cellStyle name="Comma 4 3 3 4 4" xfId="10556" xr:uid="{BCB14D35-1F72-4F73-B008-B415E56A20A0}"/>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375DAA0B-B9D9-4093-9C36-106F871E91C1}"/>
    <cellStyle name="Comma 4 3 3 5 2 3" xfId="13114" xr:uid="{EAE919D2-92AC-4431-8DC3-7CEDD9D47FCD}"/>
    <cellStyle name="Comma 4 3 3 5 3" xfId="5860" xr:uid="{00000000-0005-0000-0000-000091090000}"/>
    <cellStyle name="Comma 4 3 3 5 3 2" xfId="15186" xr:uid="{5DD625DC-6FE6-4AA8-AB7C-08D8C0D34CA9}"/>
    <cellStyle name="Comma 4 3 3 5 4" xfId="10969" xr:uid="{63D89737-B615-4FBC-844D-EEA605A7284C}"/>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2ABC664F-FA70-4C2C-B037-CADB12741F6C}"/>
    <cellStyle name="Comma 4 3 3 6 2 3" xfId="13527" xr:uid="{6D41B783-919D-4E05-9D35-878F83F22071}"/>
    <cellStyle name="Comma 4 3 3 6 3" xfId="6273" xr:uid="{00000000-0005-0000-0000-000095090000}"/>
    <cellStyle name="Comma 4 3 3 6 3 2" xfId="15599" xr:uid="{4BE3EA71-7DB5-4563-BB76-FD1428CEEDEF}"/>
    <cellStyle name="Comma 4 3 3 6 4" xfId="11382" xr:uid="{6B7BCEE1-0508-46AD-894A-FB8E46DE8AC2}"/>
    <cellStyle name="Comma 4 3 3 7" xfId="2402" xr:uid="{00000000-0005-0000-0000-000096090000}"/>
    <cellStyle name="Comma 4 3 3 7 2" xfId="6686" xr:uid="{00000000-0005-0000-0000-000097090000}"/>
    <cellStyle name="Comma 4 3 3 7 2 2" xfId="16012" xr:uid="{5137E08B-68F4-4E1F-AFAE-D4D207288FD2}"/>
    <cellStyle name="Comma 4 3 3 7 3" xfId="11795" xr:uid="{2E7B116F-6274-412B-B6F5-32D0DEBBF20D}"/>
    <cellStyle name="Comma 4 3 3 8" xfId="2361" xr:uid="{00000000-0005-0000-0000-000098090000}"/>
    <cellStyle name="Comma 4 3 3 9" xfId="2780" xr:uid="{00000000-0005-0000-0000-000099090000}"/>
    <cellStyle name="Comma 4 3 3 9 2" xfId="7003" xr:uid="{00000000-0005-0000-0000-00009A090000}"/>
    <cellStyle name="Comma 4 3 3 9 2 2" xfId="16329" xr:uid="{BFAC31FF-EF7F-4531-AB4D-71001FC42802}"/>
    <cellStyle name="Comma 4 3 3 9 3" xfId="12112" xr:uid="{0A72C884-7DE5-4742-BCA6-C82CFC48D0DB}"/>
    <cellStyle name="Comma 4 3 4" xfId="151" xr:uid="{00000000-0005-0000-0000-00009B090000}"/>
    <cellStyle name="Comma 4 3 4 10" xfId="8985" xr:uid="{E965CEC1-A932-4F91-9E18-794CBF7DC7FC}"/>
    <cellStyle name="Comma 4 3 4 10 2" xfId="18309" xr:uid="{9262DD58-708B-480E-BC91-82D31283187F}"/>
    <cellStyle name="Comma 4 3 4 11" xfId="9731" xr:uid="{F5E68437-2F04-48BA-AA97-DD18A6DFF51D}"/>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AB57441E-A73E-48D8-ACE9-B910A4AC83AF}"/>
    <cellStyle name="Comma 4 3 4 2 2 3" xfId="12290" xr:uid="{456FB8D5-BB9E-4DA2-A2C9-0AFA4BBAC64B}"/>
    <cellStyle name="Comma 4 3 4 2 3" xfId="5036" xr:uid="{00000000-0005-0000-0000-00009F090000}"/>
    <cellStyle name="Comma 4 3 4 2 3 2" xfId="14362" xr:uid="{1F3152ED-D960-49AA-98EF-74E1F5F37335}"/>
    <cellStyle name="Comma 4 3 4 2 4" xfId="9410" xr:uid="{54DEC146-6204-4AAF-A15F-BAC0A12B5984}"/>
    <cellStyle name="Comma 4 3 4 2 4 2" xfId="18725" xr:uid="{727E0A00-6289-4BA9-83F1-F0BD0DB638C7}"/>
    <cellStyle name="Comma 4 3 4 2 5" xfId="10145" xr:uid="{8E03B086-2981-4AA3-9695-C34A993A59B4}"/>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DC9F6B41-F612-4F7B-BA11-E91757E58638}"/>
    <cellStyle name="Comma 4 3 4 3 2 3" xfId="12703" xr:uid="{D6472AB5-EECE-4A04-A486-CBBCC4A120AF}"/>
    <cellStyle name="Comma 4 3 4 3 3" xfId="5449" xr:uid="{00000000-0005-0000-0000-0000A3090000}"/>
    <cellStyle name="Comma 4 3 4 3 3 2" xfId="14775" xr:uid="{73081BBB-A333-43FB-9F76-BDEEAC9BE7CA}"/>
    <cellStyle name="Comma 4 3 4 3 4" xfId="10558" xr:uid="{94764E57-ACBC-42CF-ADE8-26D90F734914}"/>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589A4B64-6311-4B24-A538-ABEDF14484C8}"/>
    <cellStyle name="Comma 4 3 4 4 2 3" xfId="13116" xr:uid="{0B7D1484-026D-4009-AD07-4AD9E00D8228}"/>
    <cellStyle name="Comma 4 3 4 4 3" xfId="5862" xr:uid="{00000000-0005-0000-0000-0000A7090000}"/>
    <cellStyle name="Comma 4 3 4 4 3 2" xfId="15188" xr:uid="{E352227E-1C97-4247-963E-E14A7F743BD0}"/>
    <cellStyle name="Comma 4 3 4 4 4" xfId="10971" xr:uid="{F29744AF-53B8-43EF-B2C0-6FE992A2E59A}"/>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45E73348-FA29-468C-84FD-38F08D62D29C}"/>
    <cellStyle name="Comma 4 3 4 5 2 3" xfId="13529" xr:uid="{A9A3B54F-6CDB-4292-8859-466ACB83FE35}"/>
    <cellStyle name="Comma 4 3 4 5 3" xfId="6275" xr:uid="{00000000-0005-0000-0000-0000AB090000}"/>
    <cellStyle name="Comma 4 3 4 5 3 2" xfId="15601" xr:uid="{4CCF94F9-096A-4009-B6D4-48B7F01428A3}"/>
    <cellStyle name="Comma 4 3 4 5 4" xfId="11384" xr:uid="{016CCB13-AEF5-492E-82DA-9696B4F0D67A}"/>
    <cellStyle name="Comma 4 3 4 6" xfId="2404" xr:uid="{00000000-0005-0000-0000-0000AC090000}"/>
    <cellStyle name="Comma 4 3 4 6 2" xfId="6688" xr:uid="{00000000-0005-0000-0000-0000AD090000}"/>
    <cellStyle name="Comma 4 3 4 6 2 2" xfId="16014" xr:uid="{24101BF8-2420-4E65-9C04-C8A9B3492374}"/>
    <cellStyle name="Comma 4 3 4 6 3" xfId="11797" xr:uid="{B5BDE7FF-6C99-4B1C-B478-3EB00C524E67}"/>
    <cellStyle name="Comma 4 3 4 7" xfId="2700" xr:uid="{00000000-0005-0000-0000-0000AE090000}"/>
    <cellStyle name="Comma 4 3 4 8" xfId="2782" xr:uid="{00000000-0005-0000-0000-0000AF090000}"/>
    <cellStyle name="Comma 4 3 4 8 2" xfId="7005" xr:uid="{00000000-0005-0000-0000-0000B0090000}"/>
    <cellStyle name="Comma 4 3 4 8 2 2" xfId="16331" xr:uid="{1FD5DDC3-89DC-4AF1-8C09-B3E520172801}"/>
    <cellStyle name="Comma 4 3 4 8 3" xfId="12114" xr:uid="{AC421015-94D0-48F5-91C6-F7951F886C53}"/>
    <cellStyle name="Comma 4 3 4 9" xfId="4622" xr:uid="{00000000-0005-0000-0000-0000B1090000}"/>
    <cellStyle name="Comma 4 3 4 9 2" xfId="13948" xr:uid="{2806F110-4A43-4C40-A7F5-5F0656824383}"/>
    <cellStyle name="Comma 4 3 5" xfId="152" xr:uid="{00000000-0005-0000-0000-0000B2090000}"/>
    <cellStyle name="Comma 4 3 5 10" xfId="9202" xr:uid="{BF5456DA-E11C-47BD-8210-21F45D9E5F79}"/>
    <cellStyle name="Comma 4 3 5 10 2" xfId="18518" xr:uid="{2D66DD11-DF1A-47F0-8704-173D76C79623}"/>
    <cellStyle name="Comma 4 3 5 11" xfId="9732" xr:uid="{01B7C401-D40D-4738-A55E-E19FFE146295}"/>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647FF331-44E6-46F3-92DC-E6FD8CF14878}"/>
    <cellStyle name="Comma 4 3 5 2 2 3" xfId="12291" xr:uid="{EA940931-1014-47A7-BA3C-3D41D8B7A796}"/>
    <cellStyle name="Comma 4 3 5 2 3" xfId="5037" xr:uid="{00000000-0005-0000-0000-0000B6090000}"/>
    <cellStyle name="Comma 4 3 5 2 3 2" xfId="14363" xr:uid="{E4F337EB-364D-4356-B152-6A8160CC2B54}"/>
    <cellStyle name="Comma 4 3 5 2 4" xfId="9595" xr:uid="{3E6BF710-D2EA-4AFB-83F1-C6BF1C2192FF}"/>
    <cellStyle name="Comma 4 3 5 2 4 2" xfId="18899" xr:uid="{42C38E7D-3C52-4165-BB04-8F9249EC43EA}"/>
    <cellStyle name="Comma 4 3 5 2 5" xfId="10146" xr:uid="{ADDD644A-0B64-4EC5-9DEB-5C8B776C8991}"/>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3E87EBF1-ECC7-4A3A-B574-10810BEE21B3}"/>
    <cellStyle name="Comma 4 3 5 3 2 3" xfId="12704" xr:uid="{E549FAB4-9DFF-47EA-8CF4-ACD4AEAF8767}"/>
    <cellStyle name="Comma 4 3 5 3 3" xfId="5450" xr:uid="{00000000-0005-0000-0000-0000BA090000}"/>
    <cellStyle name="Comma 4 3 5 3 3 2" xfId="14776" xr:uid="{2C4DAF52-B8F3-4BD2-BEFB-786F3048937D}"/>
    <cellStyle name="Comma 4 3 5 3 4" xfId="10559" xr:uid="{F094AC32-2749-4C1B-A59E-17EF2A3F7BDA}"/>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3B8434FB-3780-49C0-A2FF-1448D22330E9}"/>
    <cellStyle name="Comma 4 3 5 4 2 3" xfId="13117" xr:uid="{23FB0BDC-CDBD-41CD-9449-98B8AA165A5C}"/>
    <cellStyle name="Comma 4 3 5 4 3" xfId="5863" xr:uid="{00000000-0005-0000-0000-0000BE090000}"/>
    <cellStyle name="Comma 4 3 5 4 3 2" xfId="15189" xr:uid="{88EF216D-A48D-4E96-8FD3-59CE163E7E30}"/>
    <cellStyle name="Comma 4 3 5 4 4" xfId="10972" xr:uid="{56A79825-6461-4DC9-9014-CC3E560503EE}"/>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599E5114-E825-4349-BE86-9B3B7942C2D2}"/>
    <cellStyle name="Comma 4 3 5 5 2 3" xfId="13530" xr:uid="{6FDA45B1-D2D2-427A-A638-CBAC0616643B}"/>
    <cellStyle name="Comma 4 3 5 5 3" xfId="6276" xr:uid="{00000000-0005-0000-0000-0000C2090000}"/>
    <cellStyle name="Comma 4 3 5 5 3 2" xfId="15602" xr:uid="{79703C66-71D4-4C39-ABA9-4A402666BE28}"/>
    <cellStyle name="Comma 4 3 5 5 4" xfId="11385" xr:uid="{6924571C-7C25-492E-BEBA-2B16F2BAEF15}"/>
    <cellStyle name="Comma 4 3 5 6" xfId="2405" xr:uid="{00000000-0005-0000-0000-0000C3090000}"/>
    <cellStyle name="Comma 4 3 5 6 2" xfId="6689" xr:uid="{00000000-0005-0000-0000-0000C4090000}"/>
    <cellStyle name="Comma 4 3 5 6 2 2" xfId="16015" xr:uid="{746EDADD-38C8-44A8-B0EA-A09BBC9AA51A}"/>
    <cellStyle name="Comma 4 3 5 6 3" xfId="11798" xr:uid="{A6720EC1-0BD7-456E-81FC-CBE31C5E4937}"/>
    <cellStyle name="Comma 4 3 5 7" xfId="2701" xr:uid="{00000000-0005-0000-0000-0000C5090000}"/>
    <cellStyle name="Comma 4 3 5 8" xfId="2783" xr:uid="{00000000-0005-0000-0000-0000C6090000}"/>
    <cellStyle name="Comma 4 3 5 8 2" xfId="7006" xr:uid="{00000000-0005-0000-0000-0000C7090000}"/>
    <cellStyle name="Comma 4 3 5 8 2 2" xfId="16332" xr:uid="{CC8620C9-C2E1-458A-8E1E-23614AC43AF2}"/>
    <cellStyle name="Comma 4 3 5 8 3" xfId="12115" xr:uid="{DF60D1FA-E5BF-4629-96CB-2167DF2AC1EA}"/>
    <cellStyle name="Comma 4 3 5 9" xfId="4623" xr:uid="{00000000-0005-0000-0000-0000C8090000}"/>
    <cellStyle name="Comma 4 3 5 9 2" xfId="13949" xr:uid="{E637986F-BAD8-4FCB-A401-4F0C0A2C83D2}"/>
    <cellStyle name="Comma 4 3 6" xfId="9582" xr:uid="{F1B74700-6F25-44D3-B4B6-1EFC63A6078B}"/>
    <cellStyle name="Comma 4 3 7" xfId="8778" xr:uid="{01CB0168-3495-42C5-9A13-F25D4D0EF35E}"/>
    <cellStyle name="Comma 4 3 7 2" xfId="18102" xr:uid="{E9DB76E0-4515-48FB-83EB-98EA0B703BE0}"/>
    <cellStyle name="Comma 4 4" xfId="153" xr:uid="{00000000-0005-0000-0000-0000C9090000}"/>
    <cellStyle name="Comma 4 4 10" xfId="2784" xr:uid="{00000000-0005-0000-0000-0000CA090000}"/>
    <cellStyle name="Comma 4 4 10 2" xfId="7007" xr:uid="{00000000-0005-0000-0000-0000CB090000}"/>
    <cellStyle name="Comma 4 4 10 2 2" xfId="16333" xr:uid="{7F9A63DC-7BD0-4ECC-966D-DF23025A0956}"/>
    <cellStyle name="Comma 4 4 10 3" xfId="12116" xr:uid="{775CEFC6-0D21-415A-AA72-01294CF774D2}"/>
    <cellStyle name="Comma 4 4 11" xfId="4624" xr:uid="{00000000-0005-0000-0000-0000CC090000}"/>
    <cellStyle name="Comma 4 4 11 2" xfId="13950" xr:uid="{2D706055-543B-49EF-BEC6-11277001AAE5}"/>
    <cellStyle name="Comma 4 4 12" xfId="8804" xr:uid="{A2BB6322-7771-45CD-845C-77E2FE03AC7A}"/>
    <cellStyle name="Comma 4 4 12 2" xfId="18128" xr:uid="{E0579341-D1B1-4F09-A94D-855BE35F4957}"/>
    <cellStyle name="Comma 4 4 13" xfId="9733" xr:uid="{D0EF47E9-B119-412E-B5F8-1D904E55FBF9}"/>
    <cellStyle name="Comma 4 4 2" xfId="154" xr:uid="{00000000-0005-0000-0000-0000CD090000}"/>
    <cellStyle name="Comma 4 4 2 10" xfId="4625" xr:uid="{00000000-0005-0000-0000-0000CE090000}"/>
    <cellStyle name="Comma 4 4 2 10 2" xfId="13951" xr:uid="{B6ECFE67-C3DD-45EB-8CCD-CD3760309C5E}"/>
    <cellStyle name="Comma 4 4 2 11" xfId="8907" xr:uid="{F9F87618-3BA1-4211-A686-62CF5BBA5770}"/>
    <cellStyle name="Comma 4 4 2 11 2" xfId="18231" xr:uid="{72C41E2F-AEBF-4068-9753-565AD7FFDFF5}"/>
    <cellStyle name="Comma 4 4 2 12" xfId="9734" xr:uid="{C881E5B3-7F2F-44FA-A123-F5FF6C56F67D}"/>
    <cellStyle name="Comma 4 4 2 2" xfId="155" xr:uid="{00000000-0005-0000-0000-0000CF090000}"/>
    <cellStyle name="Comma 4 4 2 2 10" xfId="9114" xr:uid="{871FAC03-A44E-4C24-806C-3CC0605FD124}"/>
    <cellStyle name="Comma 4 4 2 2 10 2" xfId="18438" xr:uid="{E218AD31-04B6-4C1B-8544-19D06FB894EA}"/>
    <cellStyle name="Comma 4 4 2 2 11" xfId="9735" xr:uid="{D92DB110-64F0-4838-B1AA-20DB24659F65}"/>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98468E10-DD8E-4D28-91CD-BB892D84AFB9}"/>
    <cellStyle name="Comma 4 4 2 2 2 2 3" xfId="12294" xr:uid="{29EE32A6-0267-44BD-8C6B-8EAA31A101D3}"/>
    <cellStyle name="Comma 4 4 2 2 2 3" xfId="5040" xr:uid="{00000000-0005-0000-0000-0000D3090000}"/>
    <cellStyle name="Comma 4 4 2 2 2 3 2" xfId="14366" xr:uid="{9C0B6849-9689-44AA-B55E-E834522AD6C2}"/>
    <cellStyle name="Comma 4 4 2 2 2 4" xfId="9539" xr:uid="{6209A471-8158-46C6-9ADA-C828BB6621B2}"/>
    <cellStyle name="Comma 4 4 2 2 2 4 2" xfId="18854" xr:uid="{915E50D6-ABAC-4054-B53E-9A9FFE4B07EF}"/>
    <cellStyle name="Comma 4 4 2 2 2 5" xfId="10149" xr:uid="{28A182EF-2CE0-4905-A441-D4AAF8C0749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B214B20B-D42E-4791-BE26-268B8F321B4C}"/>
    <cellStyle name="Comma 4 4 2 2 3 2 3" xfId="12707" xr:uid="{547F35D0-913E-4ADE-828F-89AEA0FF5292}"/>
    <cellStyle name="Comma 4 4 2 2 3 3" xfId="5453" xr:uid="{00000000-0005-0000-0000-0000D7090000}"/>
    <cellStyle name="Comma 4 4 2 2 3 3 2" xfId="14779" xr:uid="{025BFC95-AF5C-4B23-8964-09C65470DD61}"/>
    <cellStyle name="Comma 4 4 2 2 3 4" xfId="10562" xr:uid="{ADD0095E-96B1-4AB3-9B8D-3575B1453B83}"/>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8500BB94-145A-494C-9E04-697B27C0C24F}"/>
    <cellStyle name="Comma 4 4 2 2 4 2 3" xfId="13120" xr:uid="{BB657B24-9807-452B-AD48-B443CC705A05}"/>
    <cellStyle name="Comma 4 4 2 2 4 3" xfId="5866" xr:uid="{00000000-0005-0000-0000-0000DB090000}"/>
    <cellStyle name="Comma 4 4 2 2 4 3 2" xfId="15192" xr:uid="{77C0EE84-6B7D-4D9D-AE27-BF216DBDB53A}"/>
    <cellStyle name="Comma 4 4 2 2 4 4" xfId="10975" xr:uid="{A4EDE8E3-5AD7-4CF6-961F-ED621C5BEDF8}"/>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106A634E-D1D5-4D17-99C8-8477C2DB05B3}"/>
    <cellStyle name="Comma 4 4 2 2 5 2 3" xfId="13533" xr:uid="{79B19494-563A-4B66-9F37-372E7A96463B}"/>
    <cellStyle name="Comma 4 4 2 2 5 3" xfId="6279" xr:uid="{00000000-0005-0000-0000-0000DF090000}"/>
    <cellStyle name="Comma 4 4 2 2 5 3 2" xfId="15605" xr:uid="{C1B955AB-B9D0-4CB5-B82D-66FB2AE6C999}"/>
    <cellStyle name="Comma 4 4 2 2 5 4" xfId="11388" xr:uid="{A9126D02-D0C9-45E3-AB02-E371EA8CB518}"/>
    <cellStyle name="Comma 4 4 2 2 6" xfId="2408" xr:uid="{00000000-0005-0000-0000-0000E0090000}"/>
    <cellStyle name="Comma 4 4 2 2 6 2" xfId="6692" xr:uid="{00000000-0005-0000-0000-0000E1090000}"/>
    <cellStyle name="Comma 4 4 2 2 6 2 2" xfId="16018" xr:uid="{470A6AEC-BAC7-43B0-A2A6-7230711E9502}"/>
    <cellStyle name="Comma 4 4 2 2 6 3" xfId="11801" xr:uid="{1155475C-9A65-4679-B642-7C7749BCE475}"/>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D969A820-B3F4-4593-9CC0-FDCB378792F8}"/>
    <cellStyle name="Comma 4 4 2 2 8 3" xfId="12118" xr:uid="{888D176C-DEA9-41D7-98F4-85922040947F}"/>
    <cellStyle name="Comma 4 4 2 2 9" xfId="4626" xr:uid="{00000000-0005-0000-0000-0000E5090000}"/>
    <cellStyle name="Comma 4 4 2 2 9 2" xfId="13952" xr:uid="{AAC025D3-1F80-4C60-BF14-470F9A58D890}"/>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0E6B4110-B282-456C-8BCC-545DEB928133}"/>
    <cellStyle name="Comma 4 4 2 3 2 3" xfId="12293" xr:uid="{8F88D90E-9CF0-4AED-8BCA-2035835B87AD}"/>
    <cellStyle name="Comma 4 4 2 3 3" xfId="5039" xr:uid="{00000000-0005-0000-0000-0000E9090000}"/>
    <cellStyle name="Comma 4 4 2 3 3 2" xfId="14365" xr:uid="{8D2A0ED8-325B-4D5E-B639-94E14DA2FDBA}"/>
    <cellStyle name="Comma 4 4 2 3 4" xfId="9332" xr:uid="{00F59ECD-64D7-476B-90FD-CD86F054AE4D}"/>
    <cellStyle name="Comma 4 4 2 3 4 2" xfId="18647" xr:uid="{8F1CF7F8-EE9C-494D-AB43-7E338F420B7A}"/>
    <cellStyle name="Comma 4 4 2 3 5" xfId="10148" xr:uid="{D2FE7D55-5F93-4A7E-8886-8670DE1DCC1A}"/>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6D55C3B2-B44A-4E6C-8FF2-2FF9D526CDCE}"/>
    <cellStyle name="Comma 4 4 2 4 2 3" xfId="12706" xr:uid="{4F58E0A5-6FBF-461E-A07F-F05B3E400FAC}"/>
    <cellStyle name="Comma 4 4 2 4 3" xfId="5452" xr:uid="{00000000-0005-0000-0000-0000ED090000}"/>
    <cellStyle name="Comma 4 4 2 4 3 2" xfId="14778" xr:uid="{D3564382-C0EC-454F-8330-AB6FEC1D0C30}"/>
    <cellStyle name="Comma 4 4 2 4 4" xfId="10561" xr:uid="{7CA8528D-E6D4-4EDE-8F3C-BDFFC57A1956}"/>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FA9A2541-3A87-4CB2-B975-2627F9554DBC}"/>
    <cellStyle name="Comma 4 4 2 5 2 3" xfId="13119" xr:uid="{371B9F09-907C-4E81-B4E9-248DC6C1ED2C}"/>
    <cellStyle name="Comma 4 4 2 5 3" xfId="5865" xr:uid="{00000000-0005-0000-0000-0000F1090000}"/>
    <cellStyle name="Comma 4 4 2 5 3 2" xfId="15191" xr:uid="{75AFBA8B-4B6E-4876-AA1E-CA34CD47AD01}"/>
    <cellStyle name="Comma 4 4 2 5 4" xfId="10974" xr:uid="{A091D261-7AC1-457A-BB20-0BAE8436391C}"/>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0F3FBC4E-08F9-47B6-A4FA-5D0189C7E475}"/>
    <cellStyle name="Comma 4 4 2 6 2 3" xfId="13532" xr:uid="{F184702D-577C-49C3-89EA-FF778E4CB8C2}"/>
    <cellStyle name="Comma 4 4 2 6 3" xfId="6278" xr:uid="{00000000-0005-0000-0000-0000F5090000}"/>
    <cellStyle name="Comma 4 4 2 6 3 2" xfId="15604" xr:uid="{531C723E-62F4-4D1A-8CEB-F5A6AE633444}"/>
    <cellStyle name="Comma 4 4 2 6 4" xfId="11387" xr:uid="{CEF49E8D-A1FB-4381-A4CF-FF6A327C5891}"/>
    <cellStyle name="Comma 4 4 2 7" xfId="2407" xr:uid="{00000000-0005-0000-0000-0000F6090000}"/>
    <cellStyle name="Comma 4 4 2 7 2" xfId="6691" xr:uid="{00000000-0005-0000-0000-0000F7090000}"/>
    <cellStyle name="Comma 4 4 2 7 2 2" xfId="16017" xr:uid="{7106AD54-929F-4F4D-8641-445DDF3146A8}"/>
    <cellStyle name="Comma 4 4 2 7 3" xfId="11800" xr:uid="{802D1185-F13C-4C10-A915-5F6C98A86E43}"/>
    <cellStyle name="Comma 4 4 2 8" xfId="2703" xr:uid="{00000000-0005-0000-0000-0000F8090000}"/>
    <cellStyle name="Comma 4 4 2 9" xfId="2785" xr:uid="{00000000-0005-0000-0000-0000F9090000}"/>
    <cellStyle name="Comma 4 4 2 9 2" xfId="7008" xr:uid="{00000000-0005-0000-0000-0000FA090000}"/>
    <cellStyle name="Comma 4 4 2 9 2 2" xfId="16334" xr:uid="{8291CD17-3842-44CF-8650-617EE5C31034}"/>
    <cellStyle name="Comma 4 4 2 9 3" xfId="12117" xr:uid="{6006AD7D-2F08-466E-B4C1-1BA1FB24DB9D}"/>
    <cellStyle name="Comma 4 4 3" xfId="156" xr:uid="{00000000-0005-0000-0000-0000FB090000}"/>
    <cellStyle name="Comma 4 4 3 10" xfId="9011" xr:uid="{31ED03AD-AB12-49AF-9AD4-B783F0BF7322}"/>
    <cellStyle name="Comma 4 4 3 10 2" xfId="18335" xr:uid="{9691170D-6A3E-48A3-A1A1-4756FD24DF22}"/>
    <cellStyle name="Comma 4 4 3 11" xfId="9736" xr:uid="{0014E43A-CA75-4CCC-A69C-45A883DDAA45}"/>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98AED770-62AC-4E53-BEA5-E5A7C515C241}"/>
    <cellStyle name="Comma 4 4 3 2 2 3" xfId="12295" xr:uid="{305467E3-F081-4FE5-9CA3-8E5E23EFE7C5}"/>
    <cellStyle name="Comma 4 4 3 2 3" xfId="5041" xr:uid="{00000000-0005-0000-0000-0000FF090000}"/>
    <cellStyle name="Comma 4 4 3 2 3 2" xfId="14367" xr:uid="{515BF14D-121C-4267-999B-4502AE3EB417}"/>
    <cellStyle name="Comma 4 4 3 2 4" xfId="9436" xr:uid="{5B7DDC25-9095-4E8E-BD31-668F46BBD33F}"/>
    <cellStyle name="Comma 4 4 3 2 4 2" xfId="18751" xr:uid="{42CE77BB-D112-48A4-A186-98576B88340F}"/>
    <cellStyle name="Comma 4 4 3 2 5" xfId="10150" xr:uid="{40132249-2B24-424B-BF5C-279D0CFFA918}"/>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AAEF1CC3-2909-49EE-88EC-5371470DCD62}"/>
    <cellStyle name="Comma 4 4 3 3 2 3" xfId="12708" xr:uid="{84977A2B-735C-44AB-9FDF-9FE5447CCA8C}"/>
    <cellStyle name="Comma 4 4 3 3 3" xfId="5454" xr:uid="{00000000-0005-0000-0000-0000030A0000}"/>
    <cellStyle name="Comma 4 4 3 3 3 2" xfId="14780" xr:uid="{7CBB64C0-E287-430D-9C84-4D32C6619112}"/>
    <cellStyle name="Comma 4 4 3 3 4" xfId="10563" xr:uid="{816B1E4B-20C1-4E16-A015-AC7DF12BD19C}"/>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4B741A7B-8197-4A3D-AA3F-66EF0C486484}"/>
    <cellStyle name="Comma 4 4 3 4 2 3" xfId="13121" xr:uid="{F4B44766-9A38-481F-88D5-A88FF2FA0B41}"/>
    <cellStyle name="Comma 4 4 3 4 3" xfId="5867" xr:uid="{00000000-0005-0000-0000-0000070A0000}"/>
    <cellStyle name="Comma 4 4 3 4 3 2" xfId="15193" xr:uid="{141E07FC-C957-42C6-8DC9-AFDFD9EA344C}"/>
    <cellStyle name="Comma 4 4 3 4 4" xfId="10976" xr:uid="{5DF38A37-DB1D-4360-8469-521A5D4C8762}"/>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36C24B69-875B-4AB2-949A-245A4D6BB6AB}"/>
    <cellStyle name="Comma 4 4 3 5 2 3" xfId="13534" xr:uid="{A6A794A2-E4EF-428F-940B-AD168D104ED9}"/>
    <cellStyle name="Comma 4 4 3 5 3" xfId="6280" xr:uid="{00000000-0005-0000-0000-00000B0A0000}"/>
    <cellStyle name="Comma 4 4 3 5 3 2" xfId="15606" xr:uid="{5C136C06-565E-4491-8B1E-B2049EA8A599}"/>
    <cellStyle name="Comma 4 4 3 5 4" xfId="11389" xr:uid="{3D3288B4-C9EF-4B0D-AA35-5590BCB037FC}"/>
    <cellStyle name="Comma 4 4 3 6" xfId="2409" xr:uid="{00000000-0005-0000-0000-00000C0A0000}"/>
    <cellStyle name="Comma 4 4 3 6 2" xfId="6693" xr:uid="{00000000-0005-0000-0000-00000D0A0000}"/>
    <cellStyle name="Comma 4 4 3 6 2 2" xfId="16019" xr:uid="{25A9C071-2C2A-45D5-AA71-08207C5C91A5}"/>
    <cellStyle name="Comma 4 4 3 6 3" xfId="11802" xr:uid="{DBAA8C23-CDC6-49A2-B685-3D5BE5766B3E}"/>
    <cellStyle name="Comma 4 4 3 7" xfId="2705" xr:uid="{00000000-0005-0000-0000-00000E0A0000}"/>
    <cellStyle name="Comma 4 4 3 8" xfId="2787" xr:uid="{00000000-0005-0000-0000-00000F0A0000}"/>
    <cellStyle name="Comma 4 4 3 8 2" xfId="7010" xr:uid="{00000000-0005-0000-0000-0000100A0000}"/>
    <cellStyle name="Comma 4 4 3 8 2 2" xfId="16336" xr:uid="{A38D8427-B02E-4205-A274-CB958996969D}"/>
    <cellStyle name="Comma 4 4 3 8 3" xfId="12119" xr:uid="{46803042-3B18-4D91-A19A-52F4D9283AA6}"/>
    <cellStyle name="Comma 4 4 3 9" xfId="4627" xr:uid="{00000000-0005-0000-0000-0000110A0000}"/>
    <cellStyle name="Comma 4 4 3 9 2" xfId="13953" xr:uid="{12274FC2-AA45-4E18-9B0C-DE031F16D15D}"/>
    <cellStyle name="Comma 4 4 4" xfId="690" xr:uid="{00000000-0005-0000-0000-0000120A0000}"/>
    <cellStyle name="Comma 4 4 4 2" xfId="2961" xr:uid="{00000000-0005-0000-0000-0000130A0000}"/>
    <cellStyle name="Comma 4 4 4 2 2" xfId="7183" xr:uid="{00000000-0005-0000-0000-0000140A0000}"/>
    <cellStyle name="Comma 4 4 4 2 2 2" xfId="16509" xr:uid="{71EF7CBA-E31C-45D6-A56E-592945B66600}"/>
    <cellStyle name="Comma 4 4 4 2 3" xfId="12292" xr:uid="{B1DCBAAE-1285-44B5-9BAC-54FCE4C6860B}"/>
    <cellStyle name="Comma 4 4 4 3" xfId="5038" xr:uid="{00000000-0005-0000-0000-0000150A0000}"/>
    <cellStyle name="Comma 4 4 4 3 2" xfId="14364" xr:uid="{F87DAE23-5B75-439B-8476-26050B05F927}"/>
    <cellStyle name="Comma 4 4 4 4" xfId="9229" xr:uid="{5D655A80-2199-4116-9BF2-7327D5827395}"/>
    <cellStyle name="Comma 4 4 4 4 2" xfId="18544" xr:uid="{7B47F9ED-CB6F-4455-975A-5C486A821562}"/>
    <cellStyle name="Comma 4 4 4 5" xfId="10147" xr:uid="{7C2EF02D-6CBF-4501-91CB-4F9B8F7C970F}"/>
    <cellStyle name="Comma 4 4 5" xfId="1143" xr:uid="{00000000-0005-0000-0000-0000160A0000}"/>
    <cellStyle name="Comma 4 4 5 2" xfId="3374" xr:uid="{00000000-0005-0000-0000-0000170A0000}"/>
    <cellStyle name="Comma 4 4 5 2 2" xfId="7596" xr:uid="{00000000-0005-0000-0000-0000180A0000}"/>
    <cellStyle name="Comma 4 4 5 2 2 2" xfId="16922" xr:uid="{B431D2CA-AA58-4238-B397-755A6BC78CD7}"/>
    <cellStyle name="Comma 4 4 5 2 3" xfId="12705" xr:uid="{63B4E897-4DBD-4406-9318-E24606DE5993}"/>
    <cellStyle name="Comma 4 4 5 3" xfId="5451" xr:uid="{00000000-0005-0000-0000-0000190A0000}"/>
    <cellStyle name="Comma 4 4 5 3 2" xfId="14777" xr:uid="{9272C34F-8C84-4510-B7E0-BBF1DA41AE13}"/>
    <cellStyle name="Comma 4 4 5 4" xfId="10560" xr:uid="{C13AA0D2-08BC-4BE2-8169-1B9D0DA91DD2}"/>
    <cellStyle name="Comma 4 4 6" xfId="1557" xr:uid="{00000000-0005-0000-0000-00001A0A0000}"/>
    <cellStyle name="Comma 4 4 6 2" xfId="3787" xr:uid="{00000000-0005-0000-0000-00001B0A0000}"/>
    <cellStyle name="Comma 4 4 6 2 2" xfId="8009" xr:uid="{00000000-0005-0000-0000-00001C0A0000}"/>
    <cellStyle name="Comma 4 4 6 2 2 2" xfId="17335" xr:uid="{85217195-6FFF-4D43-880A-382E8BF72950}"/>
    <cellStyle name="Comma 4 4 6 2 3" xfId="13118" xr:uid="{B45DE827-D741-4A58-A46F-4B80D9B19A34}"/>
    <cellStyle name="Comma 4 4 6 3" xfId="5864" xr:uid="{00000000-0005-0000-0000-00001D0A0000}"/>
    <cellStyle name="Comma 4 4 6 3 2" xfId="15190" xr:uid="{9A45AB90-585D-4E49-B5B6-E78C5D01E058}"/>
    <cellStyle name="Comma 4 4 6 4" xfId="10973" xr:uid="{63167968-9526-4504-9551-84B73A539720}"/>
    <cellStyle name="Comma 4 4 7" xfId="1971" xr:uid="{00000000-0005-0000-0000-00001E0A0000}"/>
    <cellStyle name="Comma 4 4 7 2" xfId="4200" xr:uid="{00000000-0005-0000-0000-00001F0A0000}"/>
    <cellStyle name="Comma 4 4 7 2 2" xfId="8422" xr:uid="{00000000-0005-0000-0000-0000200A0000}"/>
    <cellStyle name="Comma 4 4 7 2 2 2" xfId="17748" xr:uid="{58E6100F-C217-475B-97B6-1068E74E2A5E}"/>
    <cellStyle name="Comma 4 4 7 2 3" xfId="13531" xr:uid="{29192631-2F60-4CF0-9510-9D3C6D1AE809}"/>
    <cellStyle name="Comma 4 4 7 3" xfId="6277" xr:uid="{00000000-0005-0000-0000-0000210A0000}"/>
    <cellStyle name="Comma 4 4 7 3 2" xfId="15603" xr:uid="{28442A36-9305-46FF-9563-EFB54F472D12}"/>
    <cellStyle name="Comma 4 4 7 4" xfId="11386" xr:uid="{8F246457-96F0-4297-A0F7-084AA1B6DA67}"/>
    <cellStyle name="Comma 4 4 8" xfId="2406" xr:uid="{00000000-0005-0000-0000-0000220A0000}"/>
    <cellStyle name="Comma 4 4 8 2" xfId="6690" xr:uid="{00000000-0005-0000-0000-0000230A0000}"/>
    <cellStyle name="Comma 4 4 8 2 2" xfId="16016" xr:uid="{1294F4DE-83AC-450B-94B4-F9CEF044A311}"/>
    <cellStyle name="Comma 4 4 8 3" xfId="11799" xr:uid="{38520F1B-E7FC-4572-8568-5F6C0EA39F31}"/>
    <cellStyle name="Comma 4 4 9" xfId="2702" xr:uid="{00000000-0005-0000-0000-0000240A0000}"/>
    <cellStyle name="Comma 4 5" xfId="157" xr:uid="{00000000-0005-0000-0000-0000250A0000}"/>
    <cellStyle name="Comma 4 5 10" xfId="4628" xr:uid="{00000000-0005-0000-0000-0000260A0000}"/>
    <cellStyle name="Comma 4 5 10 2" xfId="13954" xr:uid="{9C1E9193-7655-47DF-81B3-C593BA31EF04}"/>
    <cellStyle name="Comma 4 5 11" xfId="8849" xr:uid="{344CCE08-63E3-41E8-B38A-00347480820F}"/>
    <cellStyle name="Comma 4 5 11 2" xfId="18173" xr:uid="{2D198A00-324D-4AB6-A8D4-D8D06D48C2E1}"/>
    <cellStyle name="Comma 4 5 12" xfId="9737" xr:uid="{64F8E953-9A7B-461E-B47C-11AE8350CB25}"/>
    <cellStyle name="Comma 4 5 2" xfId="158" xr:uid="{00000000-0005-0000-0000-0000270A0000}"/>
    <cellStyle name="Comma 4 5 2 10" xfId="9056" xr:uid="{C7C2153B-7EAA-4A13-9C28-1151ACD100A8}"/>
    <cellStyle name="Comma 4 5 2 10 2" xfId="18380" xr:uid="{8DFC3616-9BD3-4315-9C65-3ABFBD5070F6}"/>
    <cellStyle name="Comma 4 5 2 11" xfId="9738" xr:uid="{22D1FB0F-6F7C-431D-A7DC-1D7140F48EEF}"/>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681DFE9D-2048-4D5C-BAEA-3D9F769BCDD5}"/>
    <cellStyle name="Comma 4 5 2 2 2 3" xfId="12297" xr:uid="{9A808E70-7827-4185-971F-198AEC4B95BB}"/>
    <cellStyle name="Comma 4 5 2 2 3" xfId="5043" xr:uid="{00000000-0005-0000-0000-00002B0A0000}"/>
    <cellStyle name="Comma 4 5 2 2 3 2" xfId="14369" xr:uid="{2293926A-1F2E-48E1-ABAF-D7D8F02BBBE5}"/>
    <cellStyle name="Comma 4 5 2 2 4" xfId="9481" xr:uid="{47C88F6D-21B1-4457-908C-FFAB8FF83BD1}"/>
    <cellStyle name="Comma 4 5 2 2 4 2" xfId="18796" xr:uid="{356843A0-F758-4823-8A20-AF1160210F1E}"/>
    <cellStyle name="Comma 4 5 2 2 5" xfId="10152" xr:uid="{5E066C83-1FB1-4614-8FC9-0BF556D94A4E}"/>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8CADAE16-F3EA-4CC6-8F38-9AEF04C0A674}"/>
    <cellStyle name="Comma 4 5 2 3 2 3" xfId="12710" xr:uid="{78572C45-DA5A-492D-ADBC-EC1A822DFF94}"/>
    <cellStyle name="Comma 4 5 2 3 3" xfId="5456" xr:uid="{00000000-0005-0000-0000-00002F0A0000}"/>
    <cellStyle name="Comma 4 5 2 3 3 2" xfId="14782" xr:uid="{37A4AB42-6BF0-4C37-9BD3-50004304F7BA}"/>
    <cellStyle name="Comma 4 5 2 3 4" xfId="10565" xr:uid="{63F87ADC-F0E7-4D77-9C6E-110E2F1134AA}"/>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3E2880DA-2C2D-4318-98CE-F63170A8A8A8}"/>
    <cellStyle name="Comma 4 5 2 4 2 3" xfId="13123" xr:uid="{725899D8-CEE5-4BD1-9BB3-85996984DC1C}"/>
    <cellStyle name="Comma 4 5 2 4 3" xfId="5869" xr:uid="{00000000-0005-0000-0000-0000330A0000}"/>
    <cellStyle name="Comma 4 5 2 4 3 2" xfId="15195" xr:uid="{0120E6FD-E234-4073-8521-0F1F857CCBF6}"/>
    <cellStyle name="Comma 4 5 2 4 4" xfId="10978" xr:uid="{35965A2D-9482-4429-AF39-0855727F8E94}"/>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75B1A0FB-BB22-40CA-96AE-7C53F7930106}"/>
    <cellStyle name="Comma 4 5 2 5 2 3" xfId="13536" xr:uid="{F5D61C91-3F04-4026-AB8F-43CE572F29C2}"/>
    <cellStyle name="Comma 4 5 2 5 3" xfId="6282" xr:uid="{00000000-0005-0000-0000-0000370A0000}"/>
    <cellStyle name="Comma 4 5 2 5 3 2" xfId="15608" xr:uid="{633F478F-5DE9-4370-AA5B-0305629A6C20}"/>
    <cellStyle name="Comma 4 5 2 5 4" xfId="11391" xr:uid="{73C0D9B7-178F-477E-8D1A-668FB285AC2C}"/>
    <cellStyle name="Comma 4 5 2 6" xfId="2411" xr:uid="{00000000-0005-0000-0000-0000380A0000}"/>
    <cellStyle name="Comma 4 5 2 6 2" xfId="6695" xr:uid="{00000000-0005-0000-0000-0000390A0000}"/>
    <cellStyle name="Comma 4 5 2 6 2 2" xfId="16021" xr:uid="{1263927A-5799-4315-B9B4-1BFCA84EA4EF}"/>
    <cellStyle name="Comma 4 5 2 6 3" xfId="11804" xr:uid="{10CFE018-3464-4091-BEA4-FFFDDC9D0D9D}"/>
    <cellStyle name="Comma 4 5 2 7" xfId="2707" xr:uid="{00000000-0005-0000-0000-00003A0A0000}"/>
    <cellStyle name="Comma 4 5 2 8" xfId="2789" xr:uid="{00000000-0005-0000-0000-00003B0A0000}"/>
    <cellStyle name="Comma 4 5 2 8 2" xfId="7012" xr:uid="{00000000-0005-0000-0000-00003C0A0000}"/>
    <cellStyle name="Comma 4 5 2 8 2 2" xfId="16338" xr:uid="{1649E9A5-0726-4D33-A13B-3840D97D5FC5}"/>
    <cellStyle name="Comma 4 5 2 8 3" xfId="12121" xr:uid="{32E9F908-046F-4F8D-B79F-3C20798E7156}"/>
    <cellStyle name="Comma 4 5 2 9" xfId="4629" xr:uid="{00000000-0005-0000-0000-00003D0A0000}"/>
    <cellStyle name="Comma 4 5 2 9 2" xfId="13955" xr:uid="{7B6F37FD-0318-4BF8-ADE8-867085676BD5}"/>
    <cellStyle name="Comma 4 5 3" xfId="694" xr:uid="{00000000-0005-0000-0000-00003E0A0000}"/>
    <cellStyle name="Comma 4 5 3 2" xfId="2965" xr:uid="{00000000-0005-0000-0000-00003F0A0000}"/>
    <cellStyle name="Comma 4 5 3 2 2" xfId="7187" xr:uid="{00000000-0005-0000-0000-0000400A0000}"/>
    <cellStyle name="Comma 4 5 3 2 2 2" xfId="16513" xr:uid="{56F72944-6C68-4B0E-B80A-98E6F6C295E5}"/>
    <cellStyle name="Comma 4 5 3 2 3" xfId="12296" xr:uid="{9E4FF44F-5D27-429F-8C26-4D6C54EECA35}"/>
    <cellStyle name="Comma 4 5 3 3" xfId="5042" xr:uid="{00000000-0005-0000-0000-0000410A0000}"/>
    <cellStyle name="Comma 4 5 3 3 2" xfId="14368" xr:uid="{E3558CA4-51C9-4247-9EB7-E57308D50517}"/>
    <cellStyle name="Comma 4 5 3 4" xfId="9274" xr:uid="{04AC3EF2-4A78-4DC5-BAB4-87936023C7E5}"/>
    <cellStyle name="Comma 4 5 3 4 2" xfId="18589" xr:uid="{12DE73EE-85F7-4B40-9C2D-EBDD9FEEDCF5}"/>
    <cellStyle name="Comma 4 5 3 5" xfId="10151" xr:uid="{626BC4E3-16E6-4494-A536-ED4B209C6C7C}"/>
    <cellStyle name="Comma 4 5 4" xfId="1147" xr:uid="{00000000-0005-0000-0000-0000420A0000}"/>
    <cellStyle name="Comma 4 5 4 2" xfId="3378" xr:uid="{00000000-0005-0000-0000-0000430A0000}"/>
    <cellStyle name="Comma 4 5 4 2 2" xfId="7600" xr:uid="{00000000-0005-0000-0000-0000440A0000}"/>
    <cellStyle name="Comma 4 5 4 2 2 2" xfId="16926" xr:uid="{E52178E4-87AF-4FEF-8078-80E626488B7C}"/>
    <cellStyle name="Comma 4 5 4 2 3" xfId="12709" xr:uid="{3DDAE6F9-B68A-455B-AE64-9B7F25F7D3A6}"/>
    <cellStyle name="Comma 4 5 4 3" xfId="5455" xr:uid="{00000000-0005-0000-0000-0000450A0000}"/>
    <cellStyle name="Comma 4 5 4 3 2" xfId="14781" xr:uid="{6DE4EA30-D374-468C-A754-976550951B51}"/>
    <cellStyle name="Comma 4 5 4 4" xfId="10564" xr:uid="{4970E92C-AFED-4A9F-A17D-6B37922C1E16}"/>
    <cellStyle name="Comma 4 5 5" xfId="1561" xr:uid="{00000000-0005-0000-0000-0000460A0000}"/>
    <cellStyle name="Comma 4 5 5 2" xfId="3791" xr:uid="{00000000-0005-0000-0000-0000470A0000}"/>
    <cellStyle name="Comma 4 5 5 2 2" xfId="8013" xr:uid="{00000000-0005-0000-0000-0000480A0000}"/>
    <cellStyle name="Comma 4 5 5 2 2 2" xfId="17339" xr:uid="{6E5521C0-A83A-4A45-92B4-EFF4B2E3B15B}"/>
    <cellStyle name="Comma 4 5 5 2 3" xfId="13122" xr:uid="{7FA88204-6FA5-4D6D-88D6-27CC77908A3B}"/>
    <cellStyle name="Comma 4 5 5 3" xfId="5868" xr:uid="{00000000-0005-0000-0000-0000490A0000}"/>
    <cellStyle name="Comma 4 5 5 3 2" xfId="15194" xr:uid="{14B1506E-3862-46CD-8BD8-DB7EB191E8DE}"/>
    <cellStyle name="Comma 4 5 5 4" xfId="10977" xr:uid="{46BE3FDB-EFDC-41E7-B986-9FCFF2982F5F}"/>
    <cellStyle name="Comma 4 5 6" xfId="1975" xr:uid="{00000000-0005-0000-0000-00004A0A0000}"/>
    <cellStyle name="Comma 4 5 6 2" xfId="4204" xr:uid="{00000000-0005-0000-0000-00004B0A0000}"/>
    <cellStyle name="Comma 4 5 6 2 2" xfId="8426" xr:uid="{00000000-0005-0000-0000-00004C0A0000}"/>
    <cellStyle name="Comma 4 5 6 2 2 2" xfId="17752" xr:uid="{85B92BEB-D25D-45A9-BACF-8FB36933047B}"/>
    <cellStyle name="Comma 4 5 6 2 3" xfId="13535" xr:uid="{7A23DB2C-9403-47DC-B430-AB964122F41C}"/>
    <cellStyle name="Comma 4 5 6 3" xfId="6281" xr:uid="{00000000-0005-0000-0000-00004D0A0000}"/>
    <cellStyle name="Comma 4 5 6 3 2" xfId="15607" xr:uid="{669A92EC-BB31-4D7E-B28B-6399E38BD3A2}"/>
    <cellStyle name="Comma 4 5 6 4" xfId="11390" xr:uid="{7695107E-1765-4F45-A02F-03CC5F2F70E7}"/>
    <cellStyle name="Comma 4 5 7" xfId="2410" xr:uid="{00000000-0005-0000-0000-00004E0A0000}"/>
    <cellStyle name="Comma 4 5 7 2" xfId="6694" xr:uid="{00000000-0005-0000-0000-00004F0A0000}"/>
    <cellStyle name="Comma 4 5 7 2 2" xfId="16020" xr:uid="{71308C2D-7FB4-4798-8585-F1DDC5F5FDE1}"/>
    <cellStyle name="Comma 4 5 7 3" xfId="11803" xr:uid="{C0F05EF8-89E0-4C43-A385-0FD51579B02B}"/>
    <cellStyle name="Comma 4 5 8" xfId="2706" xr:uid="{00000000-0005-0000-0000-0000500A0000}"/>
    <cellStyle name="Comma 4 5 9" xfId="2788" xr:uid="{00000000-0005-0000-0000-0000510A0000}"/>
    <cellStyle name="Comma 4 5 9 2" xfId="7011" xr:uid="{00000000-0005-0000-0000-0000520A0000}"/>
    <cellStyle name="Comma 4 5 9 2 2" xfId="16337" xr:uid="{F372B16A-7CCD-4C45-87C6-3C60C2D4AA23}"/>
    <cellStyle name="Comma 4 5 9 3" xfId="12120" xr:uid="{2143F387-5546-4643-B1FD-F901BB77D043}"/>
    <cellStyle name="Comma 4 6" xfId="159" xr:uid="{00000000-0005-0000-0000-0000530A0000}"/>
    <cellStyle name="Comma 4 6 10" xfId="8965" xr:uid="{FDA33E7D-96B8-46F2-87D8-5CB6C30A4CC6}"/>
    <cellStyle name="Comma 4 6 10 2" xfId="18289" xr:uid="{E6A2A967-23E0-4BB3-A852-C77260FFBC49}"/>
    <cellStyle name="Comma 4 6 11" xfId="9739" xr:uid="{217E012B-530B-43D6-8DD9-1C0B6DF64EFE}"/>
    <cellStyle name="Comma 4 6 2" xfId="696" xr:uid="{00000000-0005-0000-0000-0000540A0000}"/>
    <cellStyle name="Comma 4 6 2 2" xfId="2967" xr:uid="{00000000-0005-0000-0000-0000550A0000}"/>
    <cellStyle name="Comma 4 6 2 2 2" xfId="7189" xr:uid="{00000000-0005-0000-0000-0000560A0000}"/>
    <cellStyle name="Comma 4 6 2 2 2 2" xfId="16515" xr:uid="{D6FB6A24-9DEC-48AD-8302-0F76BBFD7D42}"/>
    <cellStyle name="Comma 4 6 2 2 3" xfId="12298" xr:uid="{9762C62F-23C4-44B9-A093-4B14DE231CFD}"/>
    <cellStyle name="Comma 4 6 2 3" xfId="5044" xr:uid="{00000000-0005-0000-0000-0000570A0000}"/>
    <cellStyle name="Comma 4 6 2 3 2" xfId="14370" xr:uid="{CA7C24EA-E43B-458D-8056-A0C96233E14E}"/>
    <cellStyle name="Comma 4 6 2 4" xfId="9390" xr:uid="{F8012948-A58F-476A-B4CF-A63C8F36D5B6}"/>
    <cellStyle name="Comma 4 6 2 4 2" xfId="18705" xr:uid="{DD64D730-3904-4FE2-8DA2-9935FB772B1A}"/>
    <cellStyle name="Comma 4 6 2 5" xfId="10153" xr:uid="{66B853EC-11C9-4D60-B853-7F32B0389730}"/>
    <cellStyle name="Comma 4 6 3" xfId="1149" xr:uid="{00000000-0005-0000-0000-0000580A0000}"/>
    <cellStyle name="Comma 4 6 3 2" xfId="3380" xr:uid="{00000000-0005-0000-0000-0000590A0000}"/>
    <cellStyle name="Comma 4 6 3 2 2" xfId="7602" xr:uid="{00000000-0005-0000-0000-00005A0A0000}"/>
    <cellStyle name="Comma 4 6 3 2 2 2" xfId="16928" xr:uid="{76492904-C531-4E4A-8160-277F32F4CFD2}"/>
    <cellStyle name="Comma 4 6 3 2 3" xfId="12711" xr:uid="{56A6C2AB-A2BE-49CA-B4A2-07D7B7E5CCE6}"/>
    <cellStyle name="Comma 4 6 3 3" xfId="5457" xr:uid="{00000000-0005-0000-0000-00005B0A0000}"/>
    <cellStyle name="Comma 4 6 3 3 2" xfId="14783" xr:uid="{C4336958-F80D-46B8-9CD6-78DE15299C52}"/>
    <cellStyle name="Comma 4 6 3 4" xfId="10566" xr:uid="{8568D4DB-9B6C-4336-A4E8-C53F200C24F8}"/>
    <cellStyle name="Comma 4 6 4" xfId="1563" xr:uid="{00000000-0005-0000-0000-00005C0A0000}"/>
    <cellStyle name="Comma 4 6 4 2" xfId="3793" xr:uid="{00000000-0005-0000-0000-00005D0A0000}"/>
    <cellStyle name="Comma 4 6 4 2 2" xfId="8015" xr:uid="{00000000-0005-0000-0000-00005E0A0000}"/>
    <cellStyle name="Comma 4 6 4 2 2 2" xfId="17341" xr:uid="{27C33BD3-21A2-4B9F-B56A-191102EF0540}"/>
    <cellStyle name="Comma 4 6 4 2 3" xfId="13124" xr:uid="{6B950CF4-D9CA-4D34-B3D1-D17FD7167656}"/>
    <cellStyle name="Comma 4 6 4 3" xfId="5870" xr:uid="{00000000-0005-0000-0000-00005F0A0000}"/>
    <cellStyle name="Comma 4 6 4 3 2" xfId="15196" xr:uid="{B2B81070-9BFB-4123-9B05-594D28BB120F}"/>
    <cellStyle name="Comma 4 6 4 4" xfId="10979" xr:uid="{7F207067-FB0E-4130-ABE8-728D09447F27}"/>
    <cellStyle name="Comma 4 6 5" xfId="1977" xr:uid="{00000000-0005-0000-0000-0000600A0000}"/>
    <cellStyle name="Comma 4 6 5 2" xfId="4206" xr:uid="{00000000-0005-0000-0000-0000610A0000}"/>
    <cellStyle name="Comma 4 6 5 2 2" xfId="8428" xr:uid="{00000000-0005-0000-0000-0000620A0000}"/>
    <cellStyle name="Comma 4 6 5 2 2 2" xfId="17754" xr:uid="{080A395F-953C-4605-A48A-9BC97EEB001F}"/>
    <cellStyle name="Comma 4 6 5 2 3" xfId="13537" xr:uid="{93349C93-BC60-4FA0-9E2A-420BF051A1BF}"/>
    <cellStyle name="Comma 4 6 5 3" xfId="6283" xr:uid="{00000000-0005-0000-0000-0000630A0000}"/>
    <cellStyle name="Comma 4 6 5 3 2" xfId="15609" xr:uid="{4A180B53-1EFA-4A9F-8C0B-526C8CC20092}"/>
    <cellStyle name="Comma 4 6 5 4" xfId="11392" xr:uid="{133283BD-E717-4564-84EC-7C717F0910C1}"/>
    <cellStyle name="Comma 4 6 6" xfId="2412" xr:uid="{00000000-0005-0000-0000-0000640A0000}"/>
    <cellStyle name="Comma 4 6 6 2" xfId="6696" xr:uid="{00000000-0005-0000-0000-0000650A0000}"/>
    <cellStyle name="Comma 4 6 6 2 2" xfId="16022" xr:uid="{DF9E3156-7014-4E07-9246-88DBE87976F3}"/>
    <cellStyle name="Comma 4 6 6 3" xfId="11805" xr:uid="{40100DFE-9175-44AE-AE37-70A61064FB6B}"/>
    <cellStyle name="Comma 4 6 7" xfId="2708" xr:uid="{00000000-0005-0000-0000-0000660A0000}"/>
    <cellStyle name="Comma 4 6 8" xfId="2790" xr:uid="{00000000-0005-0000-0000-0000670A0000}"/>
    <cellStyle name="Comma 4 6 8 2" xfId="7013" xr:uid="{00000000-0005-0000-0000-0000680A0000}"/>
    <cellStyle name="Comma 4 6 8 2 2" xfId="16339" xr:uid="{B2788476-E98A-49A8-8835-C3810D30EB19}"/>
    <cellStyle name="Comma 4 6 8 3" xfId="12122" xr:uid="{C561E001-0377-48B7-B8FA-A6DB899F2EA3}"/>
    <cellStyle name="Comma 4 6 9" xfId="4630" xr:uid="{00000000-0005-0000-0000-0000690A0000}"/>
    <cellStyle name="Comma 4 6 9 2" xfId="13956" xr:uid="{0883FF35-3607-4BD8-8A1D-7FDA888DD2EA}"/>
    <cellStyle name="Comma 4 7" xfId="160" xr:uid="{00000000-0005-0000-0000-00006A0A0000}"/>
    <cellStyle name="Comma 4 7 10" xfId="9168" xr:uid="{C5EF0C72-87BD-43A9-8A23-92F9D9423F50}"/>
    <cellStyle name="Comma 4 7 10 2" xfId="18486" xr:uid="{D6F230DE-D0D5-4AF9-82C5-B75DB6C45FF0}"/>
    <cellStyle name="Comma 4 7 11" xfId="9740" xr:uid="{EC55C4CB-81BF-46BE-BE2A-64CC284544C3}"/>
    <cellStyle name="Comma 4 7 2" xfId="697" xr:uid="{00000000-0005-0000-0000-00006B0A0000}"/>
    <cellStyle name="Comma 4 7 2 2" xfId="2968" xr:uid="{00000000-0005-0000-0000-00006C0A0000}"/>
    <cellStyle name="Comma 4 7 2 2 2" xfId="7190" xr:uid="{00000000-0005-0000-0000-00006D0A0000}"/>
    <cellStyle name="Comma 4 7 2 2 2 2" xfId="16516" xr:uid="{CC4E473F-32FF-47AC-AE20-8CC2AD551A51}"/>
    <cellStyle name="Comma 4 7 2 2 3" xfId="12299" xr:uid="{EBF2890F-D7CD-43FC-BF99-C6DD14FB118E}"/>
    <cellStyle name="Comma 4 7 2 3" xfId="5045" xr:uid="{00000000-0005-0000-0000-00006E0A0000}"/>
    <cellStyle name="Comma 4 7 2 3 2" xfId="14371" xr:uid="{86DE3EEC-4330-4C34-8EC4-6290193AC443}"/>
    <cellStyle name="Comma 4 7 2 4" xfId="9596" xr:uid="{F4A1C070-02C1-4F2A-89F2-15465D9BEBB2}"/>
    <cellStyle name="Comma 4 7 2 4 2" xfId="18900" xr:uid="{1B93ABD6-F7B4-438F-850A-5716AD79BC40}"/>
    <cellStyle name="Comma 4 7 2 5" xfId="10154" xr:uid="{D1F0019F-263A-4D6D-B580-7FE5679FACC4}"/>
    <cellStyle name="Comma 4 7 3" xfId="1150" xr:uid="{00000000-0005-0000-0000-00006F0A0000}"/>
    <cellStyle name="Comma 4 7 3 2" xfId="3381" xr:uid="{00000000-0005-0000-0000-0000700A0000}"/>
    <cellStyle name="Comma 4 7 3 2 2" xfId="7603" xr:uid="{00000000-0005-0000-0000-0000710A0000}"/>
    <cellStyle name="Comma 4 7 3 2 2 2" xfId="16929" xr:uid="{CC205849-3D28-40BC-A837-BC225AB88A3A}"/>
    <cellStyle name="Comma 4 7 3 2 3" xfId="12712" xr:uid="{38A2F199-2F17-4C72-9022-07782EEABADA}"/>
    <cellStyle name="Comma 4 7 3 3" xfId="5458" xr:uid="{00000000-0005-0000-0000-0000720A0000}"/>
    <cellStyle name="Comma 4 7 3 3 2" xfId="14784" xr:uid="{CDEA2453-1F65-4787-901F-920B504A0F27}"/>
    <cellStyle name="Comma 4 7 3 4" xfId="10567" xr:uid="{BF4DC62D-4701-4C32-8B3D-E2D198BF86D7}"/>
    <cellStyle name="Comma 4 7 4" xfId="1564" xr:uid="{00000000-0005-0000-0000-0000730A0000}"/>
    <cellStyle name="Comma 4 7 4 2" xfId="3794" xr:uid="{00000000-0005-0000-0000-0000740A0000}"/>
    <cellStyle name="Comma 4 7 4 2 2" xfId="8016" xr:uid="{00000000-0005-0000-0000-0000750A0000}"/>
    <cellStyle name="Comma 4 7 4 2 2 2" xfId="17342" xr:uid="{9C75939E-144A-45E7-ADBA-67CBC6500977}"/>
    <cellStyle name="Comma 4 7 4 2 3" xfId="13125" xr:uid="{5F9A333E-7F46-4F2F-BC33-BD8434518694}"/>
    <cellStyle name="Comma 4 7 4 3" xfId="5871" xr:uid="{00000000-0005-0000-0000-0000760A0000}"/>
    <cellStyle name="Comma 4 7 4 3 2" xfId="15197" xr:uid="{EFB2DC12-78C0-415A-BF42-55D0FF87796A}"/>
    <cellStyle name="Comma 4 7 4 4" xfId="10980" xr:uid="{16C8888A-94F3-4767-9214-05351C8F4B54}"/>
    <cellStyle name="Comma 4 7 5" xfId="1978" xr:uid="{00000000-0005-0000-0000-0000770A0000}"/>
    <cellStyle name="Comma 4 7 5 2" xfId="4207" xr:uid="{00000000-0005-0000-0000-0000780A0000}"/>
    <cellStyle name="Comma 4 7 5 2 2" xfId="8429" xr:uid="{00000000-0005-0000-0000-0000790A0000}"/>
    <cellStyle name="Comma 4 7 5 2 2 2" xfId="17755" xr:uid="{437C2822-CF9B-4029-8120-245202A2AEE4}"/>
    <cellStyle name="Comma 4 7 5 2 3" xfId="13538" xr:uid="{B95C3F30-D1BC-4255-B553-DCDDF5AB3207}"/>
    <cellStyle name="Comma 4 7 5 3" xfId="6284" xr:uid="{00000000-0005-0000-0000-00007A0A0000}"/>
    <cellStyle name="Comma 4 7 5 3 2" xfId="15610" xr:uid="{1D60DA75-64E5-458E-9474-15D637333B57}"/>
    <cellStyle name="Comma 4 7 5 4" xfId="11393" xr:uid="{B01D04C7-BD95-4B41-BD0A-106193EAF6D5}"/>
    <cellStyle name="Comma 4 7 6" xfId="2413" xr:uid="{00000000-0005-0000-0000-00007B0A0000}"/>
    <cellStyle name="Comma 4 7 6 2" xfId="6697" xr:uid="{00000000-0005-0000-0000-00007C0A0000}"/>
    <cellStyle name="Comma 4 7 6 2 2" xfId="16023" xr:uid="{E118C78E-C36B-4296-9077-C33339919992}"/>
    <cellStyle name="Comma 4 7 6 3" xfId="11806" xr:uid="{0635DC1B-A606-4448-B638-6DD6149A8417}"/>
    <cellStyle name="Comma 4 7 7" xfId="2709" xr:uid="{00000000-0005-0000-0000-00007D0A0000}"/>
    <cellStyle name="Comma 4 7 8" xfId="2791" xr:uid="{00000000-0005-0000-0000-00007E0A0000}"/>
    <cellStyle name="Comma 4 7 8 2" xfId="7014" xr:uid="{00000000-0005-0000-0000-00007F0A0000}"/>
    <cellStyle name="Comma 4 7 8 2 2" xfId="16340" xr:uid="{FCA3CB9C-1A75-4180-B116-D2F5594D83A0}"/>
    <cellStyle name="Comma 4 7 8 3" xfId="12123" xr:uid="{C525A2C0-0E2C-4B22-A895-B1E408FAE186}"/>
    <cellStyle name="Comma 4 7 9" xfId="4631" xr:uid="{00000000-0005-0000-0000-0000800A0000}"/>
    <cellStyle name="Comma 4 7 9 2" xfId="13957" xr:uid="{350D7D32-93AE-4A95-AFD3-3AF01C3CAA33}"/>
    <cellStyle name="Comma 4 8" xfId="9193" xr:uid="{D2F7B7D5-1187-4B94-96D8-1D61B28E4E34}"/>
    <cellStyle name="Comma 4 9" xfId="8746" xr:uid="{EB6F8E1D-15EE-4A1C-A7FF-36C2A43F5A26}"/>
    <cellStyle name="Comma 4 9 2" xfId="18070" xr:uid="{3DA9E465-D272-4856-BC76-8B7B3E49715C}"/>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20A8F79D-405C-4C3D-B34A-A47EF0F7479D}"/>
    <cellStyle name="Comma 7 3" xfId="9589" xr:uid="{E5FB568C-33F4-49EE-BE6E-4022B43BCBB9}"/>
    <cellStyle name="Comma 7 4" xfId="13825" xr:uid="{4A527781-EF1E-4397-98B3-F40F5CF0979D}"/>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DD4CB5F1-1B8C-4B50-B073-F66D433AFA5C}"/>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339DDDA2-3153-469E-ACC8-2F584A1FE73C}"/>
    <cellStyle name="Currency 14 3 2 2 2 2 3" xfId="18058" xr:uid="{540F25C3-BC7F-4B50-B662-2A50A10277EC}"/>
    <cellStyle name="Currency 14 3 2 2 2 3" xfId="18055" xr:uid="{F710F747-D15C-4234-AF00-B5F53D33ABB3}"/>
    <cellStyle name="Currency 14 3 2 2 3" xfId="18051" xr:uid="{4FA1B7A8-8D31-4221-975E-29D2F1323A19}"/>
    <cellStyle name="Currency 14 3 2 3" xfId="18048" xr:uid="{C6DC3764-56F3-4B2A-BF9A-2C5D833D7743}"/>
    <cellStyle name="Currency 14 3 3" xfId="18045" xr:uid="{9B739091-093B-4245-A17C-4C8E72CA8A9A}"/>
    <cellStyle name="Currency 14 4" xfId="13828" xr:uid="{E3B38A06-C153-4500-951A-5342A06DB96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AB18B22D-F886-46D6-AF8E-91EE523CCDFF}"/>
    <cellStyle name="Currency 3 2 2 10 3" xfId="12124" xr:uid="{BE2CC921-FC95-40A1-AA9B-E89225686724}"/>
    <cellStyle name="Currency 3 2 2 11" xfId="4632" xr:uid="{00000000-0005-0000-0000-0000A50A0000}"/>
    <cellStyle name="Currency 3 2 2 11 2" xfId="13958" xr:uid="{DCA6A439-1A14-40F5-AB29-874D945BB666}"/>
    <cellStyle name="Currency 3 2 2 12" xfId="8808" xr:uid="{5CD24693-181E-456A-9199-DC057509AC96}"/>
    <cellStyle name="Currency 3 2 2 12 2" xfId="18132" xr:uid="{EBD94150-53B2-4DFB-B522-C07B05C57971}"/>
    <cellStyle name="Currency 3 2 2 13" xfId="9741" xr:uid="{096CC94D-A390-44FB-AD95-BC5B5A2E2BFD}"/>
    <cellStyle name="Currency 3 2 2 2" xfId="179" xr:uid="{00000000-0005-0000-0000-0000A60A0000}"/>
    <cellStyle name="Currency 3 2 2 2 10" xfId="4633" xr:uid="{00000000-0005-0000-0000-0000A70A0000}"/>
    <cellStyle name="Currency 3 2 2 2 10 2" xfId="13959" xr:uid="{7C98CFBA-4C24-423A-8C6A-834EA5DB1C6A}"/>
    <cellStyle name="Currency 3 2 2 2 11" xfId="8911" xr:uid="{177A45F7-B130-49DA-829A-AA3BF41B848C}"/>
    <cellStyle name="Currency 3 2 2 2 11 2" xfId="18235" xr:uid="{C6FBB0B9-531F-47A2-9373-145FB8CA7451}"/>
    <cellStyle name="Currency 3 2 2 2 12" xfId="9742" xr:uid="{10459E50-3D99-4076-BD4D-E4F715A18836}"/>
    <cellStyle name="Currency 3 2 2 2 2" xfId="180" xr:uid="{00000000-0005-0000-0000-0000A80A0000}"/>
    <cellStyle name="Currency 3 2 2 2 2 10" xfId="9118" xr:uid="{4DDBDF88-B997-49F5-AF34-322CC93508E5}"/>
    <cellStyle name="Currency 3 2 2 2 2 10 2" xfId="18442" xr:uid="{1D994E85-D9B4-4BD3-9EDB-FBFB2C19F969}"/>
    <cellStyle name="Currency 3 2 2 2 2 11" xfId="9743" xr:uid="{4684858F-8A6D-42E8-BCE8-EB07E0215417}"/>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A6012B4C-9F57-4D6C-91DD-72AA4AAAC050}"/>
    <cellStyle name="Currency 3 2 2 2 2 2 2 3" xfId="12302" xr:uid="{E01EC18F-C951-48E2-9DA3-B9789A6A5930}"/>
    <cellStyle name="Currency 3 2 2 2 2 2 3" xfId="5048" xr:uid="{00000000-0005-0000-0000-0000AC0A0000}"/>
    <cellStyle name="Currency 3 2 2 2 2 2 3 2" xfId="14374" xr:uid="{07864335-EBE8-425D-B619-EE0A8CAA90C8}"/>
    <cellStyle name="Currency 3 2 2 2 2 2 4" xfId="9543" xr:uid="{08990697-BAC1-4B06-A86B-C554A35267E6}"/>
    <cellStyle name="Currency 3 2 2 2 2 2 4 2" xfId="18858" xr:uid="{29E403D3-3115-46C1-8CE6-87F4F2EB7D15}"/>
    <cellStyle name="Currency 3 2 2 2 2 2 5" xfId="10157" xr:uid="{4AC4DECB-C184-46B8-B7AB-522651C758DA}"/>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A332705F-2E64-4545-8FBC-E41BC1CBE140}"/>
    <cellStyle name="Currency 3 2 2 2 2 3 2 3" xfId="12715" xr:uid="{CB44CBDD-9F85-4CCD-84EA-9B0C5E8AE173}"/>
    <cellStyle name="Currency 3 2 2 2 2 3 3" xfId="5461" xr:uid="{00000000-0005-0000-0000-0000B00A0000}"/>
    <cellStyle name="Currency 3 2 2 2 2 3 3 2" xfId="14787" xr:uid="{690D3684-D260-4A7D-9B45-0F7C2BBC03E8}"/>
    <cellStyle name="Currency 3 2 2 2 2 3 4" xfId="10570" xr:uid="{73542347-B13B-4A83-9279-D80E2A7AB788}"/>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32E9F0B9-419D-4AC7-9EF6-F38D4AFEB223}"/>
    <cellStyle name="Currency 3 2 2 2 2 4 2 3" xfId="13128" xr:uid="{CF8BC3D6-F299-48FE-9E0D-E1F7C7FF7FF0}"/>
    <cellStyle name="Currency 3 2 2 2 2 4 3" xfId="5874" xr:uid="{00000000-0005-0000-0000-0000B40A0000}"/>
    <cellStyle name="Currency 3 2 2 2 2 4 3 2" xfId="15200" xr:uid="{5FA86E4F-4872-47FA-8850-E2094DDCED56}"/>
    <cellStyle name="Currency 3 2 2 2 2 4 4" xfId="10983" xr:uid="{34768275-C960-43E3-BDCC-ED7C777655F3}"/>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B5975F7A-CCD4-4D87-B8EE-3665751CA780}"/>
    <cellStyle name="Currency 3 2 2 2 2 5 2 3" xfId="13541" xr:uid="{DCDBF361-7706-41E4-B909-CB4F2FBDEEB2}"/>
    <cellStyle name="Currency 3 2 2 2 2 5 3" xfId="6287" xr:uid="{00000000-0005-0000-0000-0000B80A0000}"/>
    <cellStyle name="Currency 3 2 2 2 2 5 3 2" xfId="15613" xr:uid="{659DCE88-8DDC-4C9C-B008-BB4CFB94D0BA}"/>
    <cellStyle name="Currency 3 2 2 2 2 5 4" xfId="11396" xr:uid="{C8E3CC7B-B74C-4A36-B975-D5BD30F19530}"/>
    <cellStyle name="Currency 3 2 2 2 2 6" xfId="2416" xr:uid="{00000000-0005-0000-0000-0000B90A0000}"/>
    <cellStyle name="Currency 3 2 2 2 2 6 2" xfId="6700" xr:uid="{00000000-0005-0000-0000-0000BA0A0000}"/>
    <cellStyle name="Currency 3 2 2 2 2 6 2 2" xfId="16026" xr:uid="{AFC112CB-CA13-4374-ADBD-955770B2C894}"/>
    <cellStyle name="Currency 3 2 2 2 2 6 3" xfId="11809" xr:uid="{9E20EB8F-943E-4E06-8D1F-00F2A0214255}"/>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A4511B36-4D4D-4A78-A5D8-CE48411D8C9B}"/>
    <cellStyle name="Currency 3 2 2 2 2 8 3" xfId="12126" xr:uid="{1F061565-4245-4E33-B98F-A7993AA932C1}"/>
    <cellStyle name="Currency 3 2 2 2 2 9" xfId="4634" xr:uid="{00000000-0005-0000-0000-0000BE0A0000}"/>
    <cellStyle name="Currency 3 2 2 2 2 9 2" xfId="13960" xr:uid="{65EDC37C-2226-466E-9695-764D0559612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C5B79044-C126-4A6D-979D-59301C699089}"/>
    <cellStyle name="Currency 3 2 2 2 3 2 3" xfId="12301" xr:uid="{E8DD898E-0CD2-483D-B63B-CFC3385E19D8}"/>
    <cellStyle name="Currency 3 2 2 2 3 3" xfId="5047" xr:uid="{00000000-0005-0000-0000-0000C20A0000}"/>
    <cellStyle name="Currency 3 2 2 2 3 3 2" xfId="14373" xr:uid="{61A391E3-39E0-465C-AA67-73F7C206E976}"/>
    <cellStyle name="Currency 3 2 2 2 3 4" xfId="9336" xr:uid="{F86D5454-A503-484B-B8F3-81FF219E49D0}"/>
    <cellStyle name="Currency 3 2 2 2 3 4 2" xfId="18651" xr:uid="{5CB041DF-8903-4EEA-A05C-DBB27C37E0CC}"/>
    <cellStyle name="Currency 3 2 2 2 3 5" xfId="10156" xr:uid="{756B13F9-FD96-4E08-A0AE-C46C777F342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D11B1B38-C2DA-48DE-9A2D-6316D1FE3840}"/>
    <cellStyle name="Currency 3 2 2 2 4 2 3" xfId="12714" xr:uid="{03EA0ED6-274A-4A13-8706-FF6F2C19E4FA}"/>
    <cellStyle name="Currency 3 2 2 2 4 3" xfId="5460" xr:uid="{00000000-0005-0000-0000-0000C60A0000}"/>
    <cellStyle name="Currency 3 2 2 2 4 3 2" xfId="14786" xr:uid="{25808871-9FE4-4828-AFE8-97E7D86FFAA0}"/>
    <cellStyle name="Currency 3 2 2 2 4 4" xfId="10569" xr:uid="{0FE1716F-1639-480D-A1E8-A406556D0283}"/>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329479A7-67E6-4F6A-B099-08C39DD00320}"/>
    <cellStyle name="Currency 3 2 2 2 5 2 3" xfId="13127" xr:uid="{C188052E-9820-40A1-8806-1263FB5FA3BD}"/>
    <cellStyle name="Currency 3 2 2 2 5 3" xfId="5873" xr:uid="{00000000-0005-0000-0000-0000CA0A0000}"/>
    <cellStyle name="Currency 3 2 2 2 5 3 2" xfId="15199" xr:uid="{A874E9EF-5D52-458A-91B4-9C24259AC3AC}"/>
    <cellStyle name="Currency 3 2 2 2 5 4" xfId="10982" xr:uid="{22511725-CE06-4616-9B42-00A964F483F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5278A729-D08D-4690-B758-29EB8F71C357}"/>
    <cellStyle name="Currency 3 2 2 2 6 2 3" xfId="13540" xr:uid="{7BA9B5A8-998F-4BEA-B8F5-BAA1A4A893A0}"/>
    <cellStyle name="Currency 3 2 2 2 6 3" xfId="6286" xr:uid="{00000000-0005-0000-0000-0000CE0A0000}"/>
    <cellStyle name="Currency 3 2 2 2 6 3 2" xfId="15612" xr:uid="{E25ED7A1-AD2A-422E-A03B-0B5B7A43F45D}"/>
    <cellStyle name="Currency 3 2 2 2 6 4" xfId="11395" xr:uid="{93B4744B-8B20-4FC9-9AAF-41D19C9F0D87}"/>
    <cellStyle name="Currency 3 2 2 2 7" xfId="2415" xr:uid="{00000000-0005-0000-0000-0000CF0A0000}"/>
    <cellStyle name="Currency 3 2 2 2 7 2" xfId="6699" xr:uid="{00000000-0005-0000-0000-0000D00A0000}"/>
    <cellStyle name="Currency 3 2 2 2 7 2 2" xfId="16025" xr:uid="{D62DBC5F-8CE1-4DF4-9ED3-F20583DFFAD3}"/>
    <cellStyle name="Currency 3 2 2 2 7 3" xfId="11808" xr:uid="{3FA49F8B-2E90-48EA-BA6D-1B2BD2E0B0C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5F542559-2AA8-40B4-9233-A3EE4D1D5C14}"/>
    <cellStyle name="Currency 3 2 2 2 9 3" xfId="12125" xr:uid="{2DC8B36C-409D-421E-B165-EEB70E5FB140}"/>
    <cellStyle name="Currency 3 2 2 3" xfId="181" xr:uid="{00000000-0005-0000-0000-0000D40A0000}"/>
    <cellStyle name="Currency 3 2 2 3 10" xfId="9015" xr:uid="{A1C3FAFC-6FB9-45C5-A279-C90E61794A63}"/>
    <cellStyle name="Currency 3 2 2 3 10 2" xfId="18339" xr:uid="{DF825CB5-4FF1-46D1-AD4D-CA38BA9814D8}"/>
    <cellStyle name="Currency 3 2 2 3 11" xfId="9744" xr:uid="{B5AA3710-3FFE-4634-B5DB-C8F4C885061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FB2B5D1F-967B-4C1E-86F7-8EDCD30E2150}"/>
    <cellStyle name="Currency 3 2 2 3 2 2 3" xfId="12303" xr:uid="{E3D986A7-23EE-4614-8997-6A60F47F8C2E}"/>
    <cellStyle name="Currency 3 2 2 3 2 3" xfId="5049" xr:uid="{00000000-0005-0000-0000-0000D80A0000}"/>
    <cellStyle name="Currency 3 2 2 3 2 3 2" xfId="14375" xr:uid="{A39C5BB6-E9F1-401C-A0B0-A9CD60CBD0E8}"/>
    <cellStyle name="Currency 3 2 2 3 2 4" xfId="9440" xr:uid="{774D5512-BCA5-4224-A909-3336A63369C8}"/>
    <cellStyle name="Currency 3 2 2 3 2 4 2" xfId="18755" xr:uid="{52D0C947-EA29-4DA0-8ABD-00BD31C22BCB}"/>
    <cellStyle name="Currency 3 2 2 3 2 5" xfId="10158" xr:uid="{A798FE2B-4EE1-4E8C-B843-65B89995826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FC3470A8-9C67-4123-9656-D8F496561485}"/>
    <cellStyle name="Currency 3 2 2 3 3 2 3" xfId="12716" xr:uid="{9B169677-62ED-40BA-863B-C7F9E1F3AB62}"/>
    <cellStyle name="Currency 3 2 2 3 3 3" xfId="5462" xr:uid="{00000000-0005-0000-0000-0000DC0A0000}"/>
    <cellStyle name="Currency 3 2 2 3 3 3 2" xfId="14788" xr:uid="{BEDF9784-7857-4EE8-9870-CD320141A123}"/>
    <cellStyle name="Currency 3 2 2 3 3 4" xfId="10571" xr:uid="{24D18C4D-C770-4447-AFBF-43B8D93311A4}"/>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B64332BF-D3D5-4948-A3F8-B16803BFC8EC}"/>
    <cellStyle name="Currency 3 2 2 3 4 2 3" xfId="13129" xr:uid="{F508DD7D-FD33-4A94-B61B-02AB79E80E41}"/>
    <cellStyle name="Currency 3 2 2 3 4 3" xfId="5875" xr:uid="{00000000-0005-0000-0000-0000E00A0000}"/>
    <cellStyle name="Currency 3 2 2 3 4 3 2" xfId="15201" xr:uid="{0A27AEF6-A027-4DCA-A5C0-2D4E1DD25F1D}"/>
    <cellStyle name="Currency 3 2 2 3 4 4" xfId="10984" xr:uid="{E5DE7A6C-EE87-4B98-9A80-C005546DB432}"/>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F41936E4-527D-4A42-8A86-317F9A814B67}"/>
    <cellStyle name="Currency 3 2 2 3 5 2 3" xfId="13542" xr:uid="{B1ACC158-572C-44EE-ADB8-AC98A0F7056E}"/>
    <cellStyle name="Currency 3 2 2 3 5 3" xfId="6288" xr:uid="{00000000-0005-0000-0000-0000E40A0000}"/>
    <cellStyle name="Currency 3 2 2 3 5 3 2" xfId="15614" xr:uid="{79F6A1BE-2464-438E-BB48-EAD5202F143E}"/>
    <cellStyle name="Currency 3 2 2 3 5 4" xfId="11397" xr:uid="{5700BC91-AAE2-4364-AE53-20D8E08C5C35}"/>
    <cellStyle name="Currency 3 2 2 3 6" xfId="2417" xr:uid="{00000000-0005-0000-0000-0000E50A0000}"/>
    <cellStyle name="Currency 3 2 2 3 6 2" xfId="6701" xr:uid="{00000000-0005-0000-0000-0000E60A0000}"/>
    <cellStyle name="Currency 3 2 2 3 6 2 2" xfId="16027" xr:uid="{23BE8F67-5DE2-49C2-91DE-4A92368CEEBA}"/>
    <cellStyle name="Currency 3 2 2 3 6 3" xfId="11810" xr:uid="{9B41D946-96C7-4655-9072-2849B3D3BA22}"/>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146DECC7-DE28-4D87-8273-3DAA4C9B706F}"/>
    <cellStyle name="Currency 3 2 2 3 8 3" xfId="12127" xr:uid="{194A6DFB-C064-4422-AEFB-F91CAACC5186}"/>
    <cellStyle name="Currency 3 2 2 3 9" xfId="4635" xr:uid="{00000000-0005-0000-0000-0000EA0A0000}"/>
    <cellStyle name="Currency 3 2 2 3 9 2" xfId="13961" xr:uid="{A851E584-C6E9-4332-8A91-71FD798C9F9E}"/>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60324531-C049-45E5-AB15-FA5526490DD5}"/>
    <cellStyle name="Currency 3 2 2 4 2 3" xfId="12300" xr:uid="{FD867587-DC86-4010-A50C-015253209268}"/>
    <cellStyle name="Currency 3 2 2 4 3" xfId="5046" xr:uid="{00000000-0005-0000-0000-0000EE0A0000}"/>
    <cellStyle name="Currency 3 2 2 4 3 2" xfId="14372" xr:uid="{97007283-8648-40C8-A6B3-11B2CA94C37C}"/>
    <cellStyle name="Currency 3 2 2 4 4" xfId="9233" xr:uid="{A90843BF-65B1-48E5-9C93-A2651D7B4B13}"/>
    <cellStyle name="Currency 3 2 2 4 4 2" xfId="18548" xr:uid="{28700D62-4BB8-40BF-B855-FD0B2585E04F}"/>
    <cellStyle name="Currency 3 2 2 4 5" xfId="10155" xr:uid="{BAB94CF2-82F7-4F60-8E98-703F0F700534}"/>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25349F74-9B56-4C29-9A3E-E0DA6404F46C}"/>
    <cellStyle name="Currency 3 2 2 5 2 3" xfId="12713" xr:uid="{74747398-ACCB-4247-BFED-7BCFFD12725D}"/>
    <cellStyle name="Currency 3 2 2 5 3" xfId="5459" xr:uid="{00000000-0005-0000-0000-0000F20A0000}"/>
    <cellStyle name="Currency 3 2 2 5 3 2" xfId="14785" xr:uid="{F855AD0C-8F13-467E-8100-D4F0589A4DD2}"/>
    <cellStyle name="Currency 3 2 2 5 4" xfId="10568" xr:uid="{E6510D29-C239-49D4-9949-71BDE6821353}"/>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2030D872-2427-406E-9591-399CB22B09C8}"/>
    <cellStyle name="Currency 3 2 2 6 2 3" xfId="13126" xr:uid="{4C4F50B2-17E1-4F87-A381-203A5005A865}"/>
    <cellStyle name="Currency 3 2 2 6 3" xfId="5872" xr:uid="{00000000-0005-0000-0000-0000F60A0000}"/>
    <cellStyle name="Currency 3 2 2 6 3 2" xfId="15198" xr:uid="{DE03D725-4E29-404B-BC65-A494CD89352A}"/>
    <cellStyle name="Currency 3 2 2 6 4" xfId="10981" xr:uid="{44A968FE-D329-4647-B983-D9419FE51FC4}"/>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5EB94FED-1E52-4E94-9D1E-DB5FBF323AF3}"/>
    <cellStyle name="Currency 3 2 2 7 2 3" xfId="13539" xr:uid="{37E7DE66-0E52-4118-BDC9-E7234383BFB2}"/>
    <cellStyle name="Currency 3 2 2 7 3" xfId="6285" xr:uid="{00000000-0005-0000-0000-0000FA0A0000}"/>
    <cellStyle name="Currency 3 2 2 7 3 2" xfId="15611" xr:uid="{D3985154-02F6-498E-9433-C8CB7AADA007}"/>
    <cellStyle name="Currency 3 2 2 7 4" xfId="11394" xr:uid="{9B60A109-D2B2-4B13-A1E9-BEA50982122F}"/>
    <cellStyle name="Currency 3 2 2 8" xfId="2414" xr:uid="{00000000-0005-0000-0000-0000FB0A0000}"/>
    <cellStyle name="Currency 3 2 2 8 2" xfId="6698" xr:uid="{00000000-0005-0000-0000-0000FC0A0000}"/>
    <cellStyle name="Currency 3 2 2 8 2 2" xfId="16024" xr:uid="{AF6F18E0-6AA5-4960-B8B2-75C304544CD9}"/>
    <cellStyle name="Currency 3 2 2 8 3" xfId="11807" xr:uid="{18134CA4-A66C-4218-A125-2BB35B48CB5D}"/>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3FA29B64-BD16-4581-A828-10CED73A100B}"/>
    <cellStyle name="Currency 3 2 3 11" xfId="8893" xr:uid="{8CE28714-D587-402C-9A17-1A08799662D4}"/>
    <cellStyle name="Currency 3 2 3 11 2" xfId="18217" xr:uid="{0CC40C04-3147-479E-986D-D0ED6C721D15}"/>
    <cellStyle name="Currency 3 2 3 12" xfId="9745" xr:uid="{BA4E045B-F24A-41FD-A800-279B167DC6AB}"/>
    <cellStyle name="Currency 3 2 3 2" xfId="183" xr:uid="{00000000-0005-0000-0000-0000000B0000}"/>
    <cellStyle name="Currency 3 2 3 2 10" xfId="9100" xr:uid="{CEBE1F40-0923-46C6-AB84-DD4DAB20CD81}"/>
    <cellStyle name="Currency 3 2 3 2 10 2" xfId="18424" xr:uid="{E098B796-2A37-4D8F-A4F5-290EFC7DBEB2}"/>
    <cellStyle name="Currency 3 2 3 2 11" xfId="9746" xr:uid="{65A140D3-1EA9-4FAC-B1E3-649CC9935766}"/>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6A825A82-BCE4-479B-A5E8-290050145426}"/>
    <cellStyle name="Currency 3 2 3 2 2 2 3" xfId="12305" xr:uid="{9CC9D002-3A25-4741-8108-FD7BD0897F94}"/>
    <cellStyle name="Currency 3 2 3 2 2 3" xfId="5051" xr:uid="{00000000-0005-0000-0000-0000040B0000}"/>
    <cellStyle name="Currency 3 2 3 2 2 3 2" xfId="14377" xr:uid="{593BD83B-C83F-4ED9-BF48-73453FDF6513}"/>
    <cellStyle name="Currency 3 2 3 2 2 4" xfId="9525" xr:uid="{759374BA-DDD8-4F33-9655-B300986F8700}"/>
    <cellStyle name="Currency 3 2 3 2 2 4 2" xfId="18840" xr:uid="{5F5BBE7C-AA6D-4552-A415-6981CD486E03}"/>
    <cellStyle name="Currency 3 2 3 2 2 5" xfId="10160" xr:uid="{CE730822-8B56-4D02-AD75-67064D3C9C7B}"/>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BE56F0B3-0697-4F68-BAAA-597E89117D22}"/>
    <cellStyle name="Currency 3 2 3 2 3 2 3" xfId="12718" xr:uid="{EABD8863-1CCA-4A7D-8083-396C6B92654F}"/>
    <cellStyle name="Currency 3 2 3 2 3 3" xfId="5464" xr:uid="{00000000-0005-0000-0000-0000080B0000}"/>
    <cellStyle name="Currency 3 2 3 2 3 3 2" xfId="14790" xr:uid="{985D7881-1C0E-456C-8390-070D02713C5F}"/>
    <cellStyle name="Currency 3 2 3 2 3 4" xfId="10573" xr:uid="{1C698887-0F89-42B5-9582-FC54964A7E18}"/>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69ECFBAE-F451-49CE-8297-2077E20C7982}"/>
    <cellStyle name="Currency 3 2 3 2 4 2 3" xfId="13131" xr:uid="{35B95CF5-EFE2-4CD3-8742-46C39D1D4B81}"/>
    <cellStyle name="Currency 3 2 3 2 4 3" xfId="5877" xr:uid="{00000000-0005-0000-0000-00000C0B0000}"/>
    <cellStyle name="Currency 3 2 3 2 4 3 2" xfId="15203" xr:uid="{D8C28BA6-E13B-4790-938C-3B434EF7A488}"/>
    <cellStyle name="Currency 3 2 3 2 4 4" xfId="10986" xr:uid="{3D1ECE69-45A1-4F36-BEE5-4B81FCA0F30E}"/>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0F06DCCC-199F-4924-A536-9E5B11792F5B}"/>
    <cellStyle name="Currency 3 2 3 2 5 2 3" xfId="13544" xr:uid="{485999DF-338E-433C-8C4E-05A059A79063}"/>
    <cellStyle name="Currency 3 2 3 2 5 3" xfId="6290" xr:uid="{00000000-0005-0000-0000-0000100B0000}"/>
    <cellStyle name="Currency 3 2 3 2 5 3 2" xfId="15616" xr:uid="{EB115E53-1616-481F-B4EC-C88977F65794}"/>
    <cellStyle name="Currency 3 2 3 2 5 4" xfId="11399" xr:uid="{57EB3128-FFE1-4682-BAC5-73B02782505F}"/>
    <cellStyle name="Currency 3 2 3 2 6" xfId="2419" xr:uid="{00000000-0005-0000-0000-0000110B0000}"/>
    <cellStyle name="Currency 3 2 3 2 6 2" xfId="6703" xr:uid="{00000000-0005-0000-0000-0000120B0000}"/>
    <cellStyle name="Currency 3 2 3 2 6 2 2" xfId="16029" xr:uid="{0DF006D0-BECD-450D-ADF7-9C1E91FC3C7F}"/>
    <cellStyle name="Currency 3 2 3 2 6 3" xfId="11812" xr:uid="{C07E6A4C-8FD4-437F-A70C-B8806BC9C91E}"/>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956CA99E-4CBA-44F8-9036-1235E00D04DB}"/>
    <cellStyle name="Currency 3 2 3 2 8 3" xfId="12129" xr:uid="{229E2277-254E-4490-BDDD-EC900595E990}"/>
    <cellStyle name="Currency 3 2 3 2 9" xfId="4637" xr:uid="{00000000-0005-0000-0000-0000160B0000}"/>
    <cellStyle name="Currency 3 2 3 2 9 2" xfId="13963" xr:uid="{BE935B86-02EE-4A9F-AEFF-A028DB1CE7E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B6457A69-BA4B-4D93-973C-38F111467914}"/>
    <cellStyle name="Currency 3 2 3 3 2 3" xfId="12304" xr:uid="{2E4E2F44-C237-4A52-851E-AA3462CBF0E6}"/>
    <cellStyle name="Currency 3 2 3 3 3" xfId="5050" xr:uid="{00000000-0005-0000-0000-00001A0B0000}"/>
    <cellStyle name="Currency 3 2 3 3 3 2" xfId="14376" xr:uid="{12D063B6-F155-4D11-87DE-4689219F292F}"/>
    <cellStyle name="Currency 3 2 3 3 4" xfId="9318" xr:uid="{AA73873E-8E72-4FDE-A22E-F5D80E2A87B1}"/>
    <cellStyle name="Currency 3 2 3 3 4 2" xfId="18633" xr:uid="{4E2C6F06-8690-484A-8706-9EA8BFE7688B}"/>
    <cellStyle name="Currency 3 2 3 3 5" xfId="10159" xr:uid="{F2A0F9B7-5BEB-4B5B-9DAE-E6E73BE3AF6C}"/>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B0EEB84B-C5B6-4D46-AD9C-C2D725AB52D7}"/>
    <cellStyle name="Currency 3 2 3 4 2 3" xfId="12717" xr:uid="{340D2809-673B-4F09-BF4B-6C1041F1F408}"/>
    <cellStyle name="Currency 3 2 3 4 3" xfId="5463" xr:uid="{00000000-0005-0000-0000-00001E0B0000}"/>
    <cellStyle name="Currency 3 2 3 4 3 2" xfId="14789" xr:uid="{EDFAF70F-434C-4628-997B-910446287966}"/>
    <cellStyle name="Currency 3 2 3 4 4" xfId="10572" xr:uid="{585430C2-02B6-4CF9-90EE-7A8CFAD7D767}"/>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CECDF3FA-D79A-471B-A24F-FC900C3D133C}"/>
    <cellStyle name="Currency 3 2 3 5 2 3" xfId="13130" xr:uid="{A2AD59CF-2169-4522-A24F-EA2F91871F15}"/>
    <cellStyle name="Currency 3 2 3 5 3" xfId="5876" xr:uid="{00000000-0005-0000-0000-0000220B0000}"/>
    <cellStyle name="Currency 3 2 3 5 3 2" xfId="15202" xr:uid="{47BFFFBF-0814-4822-A0AA-784D69CF86B2}"/>
    <cellStyle name="Currency 3 2 3 5 4" xfId="10985" xr:uid="{5E3FA401-ADAC-462F-91D8-30E864B77257}"/>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BD51E4EC-236D-45C0-8C77-5DF471CA7E0E}"/>
    <cellStyle name="Currency 3 2 3 6 2 3" xfId="13543" xr:uid="{DD1ED686-47A8-487B-AC67-492E22C80C69}"/>
    <cellStyle name="Currency 3 2 3 6 3" xfId="6289" xr:uid="{00000000-0005-0000-0000-0000260B0000}"/>
    <cellStyle name="Currency 3 2 3 6 3 2" xfId="15615" xr:uid="{F09CB8A9-EA75-45EA-A6D4-A7EB1BABC41B}"/>
    <cellStyle name="Currency 3 2 3 6 4" xfId="11398" xr:uid="{134AC1E5-D5A7-4099-B1BB-54077278025F}"/>
    <cellStyle name="Currency 3 2 3 7" xfId="2418" xr:uid="{00000000-0005-0000-0000-0000270B0000}"/>
    <cellStyle name="Currency 3 2 3 7 2" xfId="6702" xr:uid="{00000000-0005-0000-0000-0000280B0000}"/>
    <cellStyle name="Currency 3 2 3 7 2 2" xfId="16028" xr:uid="{C477298F-C53D-4964-ADC6-418591E349D0}"/>
    <cellStyle name="Currency 3 2 3 7 3" xfId="11811" xr:uid="{C6AFDA57-906D-4EAF-8F5E-C471DCF54BB2}"/>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216A71BF-C450-43A9-BDAC-07A6DD1E706F}"/>
    <cellStyle name="Currency 3 2 3 9 3" xfId="12128" xr:uid="{653439AF-3C4E-42E6-BE52-2D73462CB59C}"/>
    <cellStyle name="Currency 3 2 4" xfId="184" xr:uid="{00000000-0005-0000-0000-00002C0B0000}"/>
    <cellStyle name="Currency 3 2 4 10" xfId="8997" xr:uid="{DF9FC022-A382-4135-990F-F43A472E13BA}"/>
    <cellStyle name="Currency 3 2 4 10 2" xfId="18321" xr:uid="{58A1EA98-5B0D-4FDB-87A0-08FF7F4EA367}"/>
    <cellStyle name="Currency 3 2 4 11" xfId="9747" xr:uid="{17075BB3-DC7D-4EE9-AA9B-8EEB8C96FF0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B2D751AA-B274-4A6F-92F3-6E7B6D0EACEE}"/>
    <cellStyle name="Currency 3 2 4 2 2 3" xfId="12306" xr:uid="{8B719FEB-22E4-4CA9-969E-CA314945AC0F}"/>
    <cellStyle name="Currency 3 2 4 2 3" xfId="5052" xr:uid="{00000000-0005-0000-0000-0000300B0000}"/>
    <cellStyle name="Currency 3 2 4 2 3 2" xfId="14378" xr:uid="{C9189451-CA2D-4FBE-8007-FF490FDC41A6}"/>
    <cellStyle name="Currency 3 2 4 2 4" xfId="9422" xr:uid="{3049B7CE-611E-437A-AD0B-2E3AA5E2E50D}"/>
    <cellStyle name="Currency 3 2 4 2 4 2" xfId="18737" xr:uid="{F20AA351-5796-49C2-B166-E3F74BCBB094}"/>
    <cellStyle name="Currency 3 2 4 2 5" xfId="10161" xr:uid="{23890EF9-1C6F-49E0-9891-AD2066515D17}"/>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E282A57B-541E-4CD2-8630-5841422B038D}"/>
    <cellStyle name="Currency 3 2 4 3 2 3" xfId="12719" xr:uid="{D8D63B20-AEC5-4297-9B12-033D39839B0D}"/>
    <cellStyle name="Currency 3 2 4 3 3" xfId="5465" xr:uid="{00000000-0005-0000-0000-0000340B0000}"/>
    <cellStyle name="Currency 3 2 4 3 3 2" xfId="14791" xr:uid="{DF484ED9-0609-4540-B211-A414A2CDF889}"/>
    <cellStyle name="Currency 3 2 4 3 4" xfId="10574" xr:uid="{3AE955DD-4616-4004-BB57-D22A6FB3989E}"/>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F7DD6C05-439F-433F-8D95-2C9E624F3E95}"/>
    <cellStyle name="Currency 3 2 4 4 2 3" xfId="13132" xr:uid="{0FBA46D9-AC34-4812-A181-CF454AEC698B}"/>
    <cellStyle name="Currency 3 2 4 4 3" xfId="5878" xr:uid="{00000000-0005-0000-0000-0000380B0000}"/>
    <cellStyle name="Currency 3 2 4 4 3 2" xfId="15204" xr:uid="{931AA7EB-3B76-498D-9DE7-9F49AE47639F}"/>
    <cellStyle name="Currency 3 2 4 4 4" xfId="10987" xr:uid="{D7F84452-EB3C-4C0A-8299-479A27E6BB4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52CC681C-B59E-4296-86F7-2D42292F9CB7}"/>
    <cellStyle name="Currency 3 2 4 5 2 3" xfId="13545" xr:uid="{E1FF8A78-CCCC-47DF-96E4-41B4CB03DB99}"/>
    <cellStyle name="Currency 3 2 4 5 3" xfId="6291" xr:uid="{00000000-0005-0000-0000-00003C0B0000}"/>
    <cellStyle name="Currency 3 2 4 5 3 2" xfId="15617" xr:uid="{8C1142E1-55FB-4438-A8D3-F6FFB87FF446}"/>
    <cellStyle name="Currency 3 2 4 5 4" xfId="11400" xr:uid="{E13341C6-6E8C-4F60-9616-9F3FD11726B3}"/>
    <cellStyle name="Currency 3 2 4 6" xfId="2420" xr:uid="{00000000-0005-0000-0000-00003D0B0000}"/>
    <cellStyle name="Currency 3 2 4 6 2" xfId="6704" xr:uid="{00000000-0005-0000-0000-00003E0B0000}"/>
    <cellStyle name="Currency 3 2 4 6 2 2" xfId="16030" xr:uid="{9B726975-8326-4F99-9436-9D9080078841}"/>
    <cellStyle name="Currency 3 2 4 6 3" xfId="11813" xr:uid="{448B204E-3653-4C03-BB88-AE541FDE8686}"/>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1EA77E41-75A4-4180-9BD0-44944EAD103A}"/>
    <cellStyle name="Currency 3 2 4 8 3" xfId="12130" xr:uid="{99A58224-0B49-4DF8-BC01-462645F292EB}"/>
    <cellStyle name="Currency 3 2 4 9" xfId="4638" xr:uid="{00000000-0005-0000-0000-0000420B0000}"/>
    <cellStyle name="Currency 3 2 4 9 2" xfId="13964" xr:uid="{DFFCECA0-A28A-4915-B2C5-79A1DE49CC9D}"/>
    <cellStyle name="Currency 3 2 5" xfId="185" xr:uid="{00000000-0005-0000-0000-0000430B0000}"/>
    <cellStyle name="Currency 3 2 5 10" xfId="9214" xr:uid="{3D0A867F-0B9D-4759-A509-3EC1084E197B}"/>
    <cellStyle name="Currency 3 2 5 10 2" xfId="18530" xr:uid="{01CA1E1F-23FE-458F-B3F5-5E30FF74D8CC}"/>
    <cellStyle name="Currency 3 2 5 11" xfId="9748" xr:uid="{3FC7B7D0-CDEF-4CE4-AF2C-A4E07340F244}"/>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F4718033-D473-4A72-8183-1BC3DC9B43A7}"/>
    <cellStyle name="Currency 3 2 5 2 2 3" xfId="12307" xr:uid="{2C95E485-D4A3-4F70-A6DD-CBF908BB27BE}"/>
    <cellStyle name="Currency 3 2 5 2 3" xfId="5053" xr:uid="{00000000-0005-0000-0000-0000470B0000}"/>
    <cellStyle name="Currency 3 2 5 2 3 2" xfId="14379" xr:uid="{629F4303-9E3D-42E6-AAED-8368CBA9E3B7}"/>
    <cellStyle name="Currency 3 2 5 2 4" xfId="9597" xr:uid="{6E2F978E-96E4-4AD8-B4BD-1BE9D7E96A2F}"/>
    <cellStyle name="Currency 3 2 5 2 4 2" xfId="18901" xr:uid="{170BE5CD-8079-4E61-9F9E-0BFB63BD0BC0}"/>
    <cellStyle name="Currency 3 2 5 2 5" xfId="10162" xr:uid="{43B5E2E3-6EFC-475E-9FEA-1B960F864DB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D7067B1D-04E9-4C73-B7B6-22D009689CAB}"/>
    <cellStyle name="Currency 3 2 5 3 2 3" xfId="12720" xr:uid="{405751C3-AD6D-4BEE-B25F-4EAD799BB44F}"/>
    <cellStyle name="Currency 3 2 5 3 3" xfId="5466" xr:uid="{00000000-0005-0000-0000-00004B0B0000}"/>
    <cellStyle name="Currency 3 2 5 3 3 2" xfId="14792" xr:uid="{F423A857-2AE7-44B3-BB42-5EAF15E011C6}"/>
    <cellStyle name="Currency 3 2 5 3 4" xfId="10575" xr:uid="{48023F0A-0E7E-4A43-8AA1-F7E7F96D0141}"/>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3A15D302-7F41-452D-A5BC-304D9026A6D5}"/>
    <cellStyle name="Currency 3 2 5 4 2 3" xfId="13133" xr:uid="{2EFB404B-77CD-4B3C-B11D-1944E2931EE4}"/>
    <cellStyle name="Currency 3 2 5 4 3" xfId="5879" xr:uid="{00000000-0005-0000-0000-00004F0B0000}"/>
    <cellStyle name="Currency 3 2 5 4 3 2" xfId="15205" xr:uid="{13F55BC3-96F1-468F-A79E-60C39260D649}"/>
    <cellStyle name="Currency 3 2 5 4 4" xfId="10988" xr:uid="{ABD3A5C4-C677-487C-B020-A28E20167837}"/>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AB60BA12-9DD6-4A1C-B5A6-62B19564844D}"/>
    <cellStyle name="Currency 3 2 5 5 2 3" xfId="13546" xr:uid="{CEE305FE-643E-4762-B819-A272DF3D2389}"/>
    <cellStyle name="Currency 3 2 5 5 3" xfId="6292" xr:uid="{00000000-0005-0000-0000-0000530B0000}"/>
    <cellStyle name="Currency 3 2 5 5 3 2" xfId="15618" xr:uid="{247C7BAE-E2E5-4F0A-9992-6107FA164669}"/>
    <cellStyle name="Currency 3 2 5 5 4" xfId="11401" xr:uid="{9E884FB6-1CE3-4B6B-8C7A-CC12EEF4F715}"/>
    <cellStyle name="Currency 3 2 5 6" xfId="2421" xr:uid="{00000000-0005-0000-0000-0000540B0000}"/>
    <cellStyle name="Currency 3 2 5 6 2" xfId="6705" xr:uid="{00000000-0005-0000-0000-0000550B0000}"/>
    <cellStyle name="Currency 3 2 5 6 2 2" xfId="16031" xr:uid="{FA03036D-AED5-44E3-8C5F-50BD69A8A5E4}"/>
    <cellStyle name="Currency 3 2 5 6 3" xfId="11814" xr:uid="{8637A27B-8128-4A83-86E0-33E7005F7D77}"/>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5E7D247B-7220-436C-9D27-FCE049408A94}"/>
    <cellStyle name="Currency 3 2 5 8 3" xfId="12131" xr:uid="{1B184D96-A2E6-4E3F-9D07-09B5E04CBE16}"/>
    <cellStyle name="Currency 3 2 5 9" xfId="4639" xr:uid="{00000000-0005-0000-0000-0000590B0000}"/>
    <cellStyle name="Currency 3 2 5 9 2" xfId="13965" xr:uid="{C6E07C58-D1A2-45D3-8C00-5983FAC6337C}"/>
    <cellStyle name="Currency 3 2 6" xfId="9583" xr:uid="{653EC571-6DFB-4D44-8156-8097E74D2DD4}"/>
    <cellStyle name="Currency 3 2 7" xfId="8790" xr:uid="{4F16186C-C154-4E9A-B12A-0E13D64C3701}"/>
    <cellStyle name="Currency 3 2 7 2" xfId="18114" xr:uid="{46968AFB-5D42-4E22-BFB5-A48F4341C204}"/>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4183B575-CE74-437A-82CF-9CC705BC0BCC}"/>
    <cellStyle name="Currency 5 2 2 2 10 3" xfId="12132" xr:uid="{8E3E8339-B897-4A46-B1EB-0D516723C08C}"/>
    <cellStyle name="Currency 5 2 2 2 11" xfId="4640" xr:uid="{00000000-0005-0000-0000-00006C0B0000}"/>
    <cellStyle name="Currency 5 2 2 2 11 2" xfId="13966" xr:uid="{4F8D9A42-F172-4379-8226-4A60827565A7}"/>
    <cellStyle name="Currency 5 2 2 2 12" xfId="8809" xr:uid="{6E2B58BA-BC61-49BF-A0FE-5BC79A050654}"/>
    <cellStyle name="Currency 5 2 2 2 12 2" xfId="18133" xr:uid="{D40FFB99-6979-40FF-8E82-4C9DC12E39E5}"/>
    <cellStyle name="Currency 5 2 2 2 13" xfId="9749" xr:uid="{75BA31B2-8038-427D-A5CD-EC473709A05A}"/>
    <cellStyle name="Currency 5 2 2 2 2" xfId="197" xr:uid="{00000000-0005-0000-0000-00006D0B0000}"/>
    <cellStyle name="Currency 5 2 2 2 2 10" xfId="4641" xr:uid="{00000000-0005-0000-0000-00006E0B0000}"/>
    <cellStyle name="Currency 5 2 2 2 2 10 2" xfId="13967" xr:uid="{95568DB7-7341-4752-9DE6-9AFF1BF25791}"/>
    <cellStyle name="Currency 5 2 2 2 2 11" xfId="8912" xr:uid="{4079D27E-F98B-4445-AE20-FFD848158756}"/>
    <cellStyle name="Currency 5 2 2 2 2 11 2" xfId="18236" xr:uid="{E621E6FC-7EDA-473E-9C35-41BD366FB090}"/>
    <cellStyle name="Currency 5 2 2 2 2 12" xfId="9750" xr:uid="{B06126AE-E3DC-4DD4-B768-B4BDEC6CF136}"/>
    <cellStyle name="Currency 5 2 2 2 2 2" xfId="198" xr:uid="{00000000-0005-0000-0000-00006F0B0000}"/>
    <cellStyle name="Currency 5 2 2 2 2 2 10" xfId="9119" xr:uid="{2B97CFE9-E9FD-476D-A341-C695293642F3}"/>
    <cellStyle name="Currency 5 2 2 2 2 2 10 2" xfId="18443" xr:uid="{FC690C58-CC60-4A22-BA3F-643EFFC41E12}"/>
    <cellStyle name="Currency 5 2 2 2 2 2 11" xfId="9751" xr:uid="{FA2B2336-BEA9-4F34-BDB9-4C174599440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17ACC3D2-D882-43FE-8496-02AC51F22CC7}"/>
    <cellStyle name="Currency 5 2 2 2 2 2 2 2 3" xfId="12310" xr:uid="{9D2AE0BE-B0AA-41C7-BBC8-4C82BF088C43}"/>
    <cellStyle name="Currency 5 2 2 2 2 2 2 3" xfId="5056" xr:uid="{00000000-0005-0000-0000-0000730B0000}"/>
    <cellStyle name="Currency 5 2 2 2 2 2 2 3 2" xfId="14382" xr:uid="{99C848D4-6606-4811-A099-1204B0BC5CC4}"/>
    <cellStyle name="Currency 5 2 2 2 2 2 2 4" xfId="9544" xr:uid="{77881B28-843C-4677-B92C-D2A5804BDB97}"/>
    <cellStyle name="Currency 5 2 2 2 2 2 2 4 2" xfId="18859" xr:uid="{909DF29E-519D-4046-A349-FF3E2B41D94E}"/>
    <cellStyle name="Currency 5 2 2 2 2 2 2 5" xfId="10165" xr:uid="{E2AA362C-D7EE-4BCC-9E50-BBB111564F3F}"/>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748ACB57-A72E-467F-8CDE-150E3A716B09}"/>
    <cellStyle name="Currency 5 2 2 2 2 2 3 2 3" xfId="12723" xr:uid="{F2D7A8A3-4782-4746-A97D-431ECC6B43AA}"/>
    <cellStyle name="Currency 5 2 2 2 2 2 3 3" xfId="5469" xr:uid="{00000000-0005-0000-0000-0000770B0000}"/>
    <cellStyle name="Currency 5 2 2 2 2 2 3 3 2" xfId="14795" xr:uid="{B5DBE375-E2CD-4BE4-AF28-4125EF51F889}"/>
    <cellStyle name="Currency 5 2 2 2 2 2 3 4" xfId="10578" xr:uid="{1A4EA6DA-EA68-412F-A2EE-EA2D233A040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702611E3-AF00-46F7-92C2-C166FCEFAE24}"/>
    <cellStyle name="Currency 5 2 2 2 2 2 4 2 3" xfId="13136" xr:uid="{842369FA-03A7-4484-90DA-FC984C0CE24E}"/>
    <cellStyle name="Currency 5 2 2 2 2 2 4 3" xfId="5882" xr:uid="{00000000-0005-0000-0000-00007B0B0000}"/>
    <cellStyle name="Currency 5 2 2 2 2 2 4 3 2" xfId="15208" xr:uid="{A7F95947-E3DB-4F8C-AD96-9612D8BC19F3}"/>
    <cellStyle name="Currency 5 2 2 2 2 2 4 4" xfId="10991" xr:uid="{BBB79700-8A95-49D8-A6C4-9EA5ED2A7F2A}"/>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D0D05FF3-5CA9-4FA2-A091-E26A288867BC}"/>
    <cellStyle name="Currency 5 2 2 2 2 2 5 2 3" xfId="13549" xr:uid="{1CD6BD8F-891A-4C40-A367-DE048E98C0FD}"/>
    <cellStyle name="Currency 5 2 2 2 2 2 5 3" xfId="6295" xr:uid="{00000000-0005-0000-0000-00007F0B0000}"/>
    <cellStyle name="Currency 5 2 2 2 2 2 5 3 2" xfId="15621" xr:uid="{363CDF66-B250-498E-9505-D41E927D1593}"/>
    <cellStyle name="Currency 5 2 2 2 2 2 5 4" xfId="11404" xr:uid="{A57CB80C-115E-4307-92F9-FFD448DAAD90}"/>
    <cellStyle name="Currency 5 2 2 2 2 2 6" xfId="2424" xr:uid="{00000000-0005-0000-0000-0000800B0000}"/>
    <cellStyle name="Currency 5 2 2 2 2 2 6 2" xfId="6708" xr:uid="{00000000-0005-0000-0000-0000810B0000}"/>
    <cellStyle name="Currency 5 2 2 2 2 2 6 2 2" xfId="16034" xr:uid="{981D8F14-8FF9-4281-943B-5E3D61B22DD7}"/>
    <cellStyle name="Currency 5 2 2 2 2 2 6 3" xfId="11817" xr:uid="{CD491434-057E-45B0-A0D8-FF24445AC311}"/>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693ACB9D-3239-42FE-B20B-603093222B22}"/>
    <cellStyle name="Currency 5 2 2 2 2 2 8 3" xfId="12134" xr:uid="{E0F8081E-ECE9-4284-B29A-649B562A84A8}"/>
    <cellStyle name="Currency 5 2 2 2 2 2 9" xfId="4642" xr:uid="{00000000-0005-0000-0000-0000850B0000}"/>
    <cellStyle name="Currency 5 2 2 2 2 2 9 2" xfId="13968" xr:uid="{54F2F0B3-79F4-4D87-B640-69B93850A3D8}"/>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2306AD42-A46D-4863-AB78-E9EB33A8DBF0}"/>
    <cellStyle name="Currency 5 2 2 2 2 3 2 3" xfId="12309" xr:uid="{E34EC5E1-B45C-4CCD-9CFA-D6927B13DE9F}"/>
    <cellStyle name="Currency 5 2 2 2 2 3 3" xfId="5055" xr:uid="{00000000-0005-0000-0000-0000890B0000}"/>
    <cellStyle name="Currency 5 2 2 2 2 3 3 2" xfId="14381" xr:uid="{95AAB333-E5BD-4CCB-9B44-72D856BD436A}"/>
    <cellStyle name="Currency 5 2 2 2 2 3 4" xfId="9337" xr:uid="{A1FF44B9-A8E0-4A4E-9BE9-DA7FD7E326AE}"/>
    <cellStyle name="Currency 5 2 2 2 2 3 4 2" xfId="18652" xr:uid="{8A0CE588-60D1-4A26-8BD3-9CF9E4A0B34E}"/>
    <cellStyle name="Currency 5 2 2 2 2 3 5" xfId="10164" xr:uid="{B2AFFDDB-D906-4D4D-8736-32EDF8CA21A1}"/>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1315CDD3-FF5E-4047-B47A-97C6E46C9143}"/>
    <cellStyle name="Currency 5 2 2 2 2 4 2 3" xfId="12722" xr:uid="{B2DFB513-3834-4264-85E9-3506FABCA4C5}"/>
    <cellStyle name="Currency 5 2 2 2 2 4 3" xfId="5468" xr:uid="{00000000-0005-0000-0000-00008D0B0000}"/>
    <cellStyle name="Currency 5 2 2 2 2 4 3 2" xfId="14794" xr:uid="{DF8C80B2-A091-4039-9C0A-FC2F24545B78}"/>
    <cellStyle name="Currency 5 2 2 2 2 4 4" xfId="10577" xr:uid="{F05A0F30-9331-4B27-9885-EFBF87AF32AE}"/>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FAD40CFE-DC31-4D79-9A68-BAF27EC3DD69}"/>
    <cellStyle name="Currency 5 2 2 2 2 5 2 3" xfId="13135" xr:uid="{55C25B0B-609E-49C3-912D-FC2960BC5929}"/>
    <cellStyle name="Currency 5 2 2 2 2 5 3" xfId="5881" xr:uid="{00000000-0005-0000-0000-0000910B0000}"/>
    <cellStyle name="Currency 5 2 2 2 2 5 3 2" xfId="15207" xr:uid="{07C03079-1AA0-44FB-93B3-C0661D14D5BF}"/>
    <cellStyle name="Currency 5 2 2 2 2 5 4" xfId="10990" xr:uid="{DAD97E36-C621-40A3-A40A-F1329898696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651405C6-C8C5-4C46-9F3B-B2682CED204F}"/>
    <cellStyle name="Currency 5 2 2 2 2 6 2 3" xfId="13548" xr:uid="{EA4B2F19-8503-4C62-BCDF-5B1FABD239A8}"/>
    <cellStyle name="Currency 5 2 2 2 2 6 3" xfId="6294" xr:uid="{00000000-0005-0000-0000-0000950B0000}"/>
    <cellStyle name="Currency 5 2 2 2 2 6 3 2" xfId="15620" xr:uid="{7B13A1F9-0863-4D50-823E-E09FA29ECF24}"/>
    <cellStyle name="Currency 5 2 2 2 2 6 4" xfId="11403" xr:uid="{70887174-4724-4623-A2F7-B5B63CCBA775}"/>
    <cellStyle name="Currency 5 2 2 2 2 7" xfId="2423" xr:uid="{00000000-0005-0000-0000-0000960B0000}"/>
    <cellStyle name="Currency 5 2 2 2 2 7 2" xfId="6707" xr:uid="{00000000-0005-0000-0000-0000970B0000}"/>
    <cellStyle name="Currency 5 2 2 2 2 7 2 2" xfId="16033" xr:uid="{69F15F6A-C22B-4261-BE7E-339E1C705F13}"/>
    <cellStyle name="Currency 5 2 2 2 2 7 3" xfId="11816" xr:uid="{07846C1F-FBDF-40BD-952F-92A35011DCF2}"/>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D6389D1C-868A-404D-8756-B50A2C336341}"/>
    <cellStyle name="Currency 5 2 2 2 2 9 3" xfId="12133" xr:uid="{00F77895-BDA1-4268-A379-5E9A3173BDEA}"/>
    <cellStyle name="Currency 5 2 2 2 3" xfId="199" xr:uid="{00000000-0005-0000-0000-00009B0B0000}"/>
    <cellStyle name="Currency 5 2 2 2 3 10" xfId="9016" xr:uid="{706F9706-E49D-4995-B402-A842C879DBC8}"/>
    <cellStyle name="Currency 5 2 2 2 3 10 2" xfId="18340" xr:uid="{89ACD3AB-0A72-461E-9C48-DD4F3C20D742}"/>
    <cellStyle name="Currency 5 2 2 2 3 11" xfId="9752" xr:uid="{D5B52E6C-B4E7-44BE-9B80-6406E1F1A8E2}"/>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D440A3EF-4111-4476-A47D-BCA247B57B90}"/>
    <cellStyle name="Currency 5 2 2 2 3 2 2 3" xfId="12311" xr:uid="{5378A517-3F0D-4175-BC82-8D77F4B05266}"/>
    <cellStyle name="Currency 5 2 2 2 3 2 3" xfId="5057" xr:uid="{00000000-0005-0000-0000-00009F0B0000}"/>
    <cellStyle name="Currency 5 2 2 2 3 2 3 2" xfId="14383" xr:uid="{7851A927-AB11-4D41-BB11-1E267FFC7640}"/>
    <cellStyle name="Currency 5 2 2 2 3 2 4" xfId="9441" xr:uid="{B7048274-E02F-4E6A-9C9A-FAD4299F19B1}"/>
    <cellStyle name="Currency 5 2 2 2 3 2 4 2" xfId="18756" xr:uid="{4319823D-319F-4F12-855D-B4C5B476836B}"/>
    <cellStyle name="Currency 5 2 2 2 3 2 5" xfId="10166" xr:uid="{0E8DBC90-9E5B-4B92-B9AD-4962FC5DADF3}"/>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BE82610A-DCCB-4665-B09A-67B325722D80}"/>
    <cellStyle name="Currency 5 2 2 2 3 3 2 3" xfId="12724" xr:uid="{835F55E2-0763-4593-B26E-F1435C8EB6C7}"/>
    <cellStyle name="Currency 5 2 2 2 3 3 3" xfId="5470" xr:uid="{00000000-0005-0000-0000-0000A30B0000}"/>
    <cellStyle name="Currency 5 2 2 2 3 3 3 2" xfId="14796" xr:uid="{1514320A-AAA7-412D-BB9B-D24AE39079A2}"/>
    <cellStyle name="Currency 5 2 2 2 3 3 4" xfId="10579" xr:uid="{573A8D5E-A48F-46A2-BEE2-E56AB06D8D8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9AA3B9E5-47FB-4ADE-9279-EF503CCDE5D0}"/>
    <cellStyle name="Currency 5 2 2 2 3 4 2 3" xfId="13137" xr:uid="{EB87D011-FC74-4264-B5CE-FDEB76DBE64D}"/>
    <cellStyle name="Currency 5 2 2 2 3 4 3" xfId="5883" xr:uid="{00000000-0005-0000-0000-0000A70B0000}"/>
    <cellStyle name="Currency 5 2 2 2 3 4 3 2" xfId="15209" xr:uid="{3CFB02C6-E963-4238-AE8C-6310CE768E7C}"/>
    <cellStyle name="Currency 5 2 2 2 3 4 4" xfId="10992" xr:uid="{4CF81D81-C0E2-458F-8CB9-60DFD5B60207}"/>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079286C4-A7FD-4E44-81DD-C0BEE227B0F8}"/>
    <cellStyle name="Currency 5 2 2 2 3 5 2 3" xfId="13550" xr:uid="{83DEAAAD-41AB-4C41-A5E0-611220908EBC}"/>
    <cellStyle name="Currency 5 2 2 2 3 5 3" xfId="6296" xr:uid="{00000000-0005-0000-0000-0000AB0B0000}"/>
    <cellStyle name="Currency 5 2 2 2 3 5 3 2" xfId="15622" xr:uid="{137DFDC2-F6F8-4E81-AAF9-987FF6687AA7}"/>
    <cellStyle name="Currency 5 2 2 2 3 5 4" xfId="11405" xr:uid="{CDB1F574-5B97-4E9D-B661-2F6AC54DA79A}"/>
    <cellStyle name="Currency 5 2 2 2 3 6" xfId="2425" xr:uid="{00000000-0005-0000-0000-0000AC0B0000}"/>
    <cellStyle name="Currency 5 2 2 2 3 6 2" xfId="6709" xr:uid="{00000000-0005-0000-0000-0000AD0B0000}"/>
    <cellStyle name="Currency 5 2 2 2 3 6 2 2" xfId="16035" xr:uid="{DBCDEF90-DA7D-488F-B33B-151A3D3D4C9F}"/>
    <cellStyle name="Currency 5 2 2 2 3 6 3" xfId="11818" xr:uid="{1AF3BEC2-CBAC-41BC-B4F8-9816331AE84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13705907-5645-4F24-BA67-6111DA9D8C2B}"/>
    <cellStyle name="Currency 5 2 2 2 3 8 3" xfId="12135" xr:uid="{FEF116E6-11C5-4E77-8238-817715E09059}"/>
    <cellStyle name="Currency 5 2 2 2 3 9" xfId="4643" xr:uid="{00000000-0005-0000-0000-0000B10B0000}"/>
    <cellStyle name="Currency 5 2 2 2 3 9 2" xfId="13969" xr:uid="{D46A3238-DAFD-4538-B679-551D0A796CAE}"/>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50386C4B-5F07-4180-8158-7DF76C25E8B2}"/>
    <cellStyle name="Currency 5 2 2 2 4 2 3" xfId="12308" xr:uid="{75EC3FFC-8DD5-41AF-9610-760C73388A07}"/>
    <cellStyle name="Currency 5 2 2 2 4 3" xfId="5054" xr:uid="{00000000-0005-0000-0000-0000B50B0000}"/>
    <cellStyle name="Currency 5 2 2 2 4 3 2" xfId="14380" xr:uid="{4FB87808-FC27-4700-A3E1-8C2A75399221}"/>
    <cellStyle name="Currency 5 2 2 2 4 4" xfId="9234" xr:uid="{AAF147FE-13D8-48BD-A722-062B96166D61}"/>
    <cellStyle name="Currency 5 2 2 2 4 4 2" xfId="18549" xr:uid="{090F8344-8857-475A-A115-F416C95B4EED}"/>
    <cellStyle name="Currency 5 2 2 2 4 5" xfId="10163" xr:uid="{83DC8C89-2409-485A-9834-DD2A7B8FCF29}"/>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F489A7B2-54AA-4575-A5E6-4BE64607CBC8}"/>
    <cellStyle name="Currency 5 2 2 2 5 2 3" xfId="12721" xr:uid="{B6EA00CC-B1D2-41B0-8AB9-13449247C5A3}"/>
    <cellStyle name="Currency 5 2 2 2 5 3" xfId="5467" xr:uid="{00000000-0005-0000-0000-0000B90B0000}"/>
    <cellStyle name="Currency 5 2 2 2 5 3 2" xfId="14793" xr:uid="{7DC4BE15-FF41-41E8-9364-612DD3DF604A}"/>
    <cellStyle name="Currency 5 2 2 2 5 4" xfId="10576" xr:uid="{6DBD3E6B-56C7-4FD6-A44B-9CE71AD1540C}"/>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37F58FEB-54EA-4BC3-A04F-5B4B2A727ECE}"/>
    <cellStyle name="Currency 5 2 2 2 6 2 3" xfId="13134" xr:uid="{0DCE509B-F0F2-459F-BBB6-69C07F0F2273}"/>
    <cellStyle name="Currency 5 2 2 2 6 3" xfId="5880" xr:uid="{00000000-0005-0000-0000-0000BD0B0000}"/>
    <cellStyle name="Currency 5 2 2 2 6 3 2" xfId="15206" xr:uid="{A70B2C80-2A4B-4B5A-A859-4363359DA778}"/>
    <cellStyle name="Currency 5 2 2 2 6 4" xfId="10989" xr:uid="{C6BC9F5D-B0A8-4353-9C45-F93C10D8A517}"/>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7DD8BE35-F89E-432B-B71E-44AAF55FF120}"/>
    <cellStyle name="Currency 5 2 2 2 7 2 3" xfId="13547" xr:uid="{B8381433-134B-4D51-AD9B-B18A11FB0EF3}"/>
    <cellStyle name="Currency 5 2 2 2 7 3" xfId="6293" xr:uid="{00000000-0005-0000-0000-0000C10B0000}"/>
    <cellStyle name="Currency 5 2 2 2 7 3 2" xfId="15619" xr:uid="{2EA2BA59-3F9D-4E46-8F37-3A4434E5BC76}"/>
    <cellStyle name="Currency 5 2 2 2 7 4" xfId="11402" xr:uid="{4A4B19D0-3277-4D9D-A371-C0CD71F27018}"/>
    <cellStyle name="Currency 5 2 2 2 8" xfId="2422" xr:uid="{00000000-0005-0000-0000-0000C20B0000}"/>
    <cellStyle name="Currency 5 2 2 2 8 2" xfId="6706" xr:uid="{00000000-0005-0000-0000-0000C30B0000}"/>
    <cellStyle name="Currency 5 2 2 2 8 2 2" xfId="16032" xr:uid="{1E2C2E1B-13CC-49DF-9F5C-3A49326E577A}"/>
    <cellStyle name="Currency 5 2 2 2 8 3" xfId="11815" xr:uid="{C36B3F39-1175-4740-86FE-DFF1633FF6DD}"/>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FB812F59-1571-4C84-8048-7811ED68A3CE}"/>
    <cellStyle name="Currency 5 2 2 3 11" xfId="8890" xr:uid="{F313D4EC-7666-4BAA-9452-39176957C213}"/>
    <cellStyle name="Currency 5 2 2 3 11 2" xfId="18214" xr:uid="{94AC4F1F-FF05-4422-9D7E-5F21FBA7B97E}"/>
    <cellStyle name="Currency 5 2 2 3 12" xfId="9753" xr:uid="{DB6A5B43-B980-43C2-9CA3-2BE9044B0BF3}"/>
    <cellStyle name="Currency 5 2 2 3 2" xfId="201" xr:uid="{00000000-0005-0000-0000-0000C70B0000}"/>
    <cellStyle name="Currency 5 2 2 3 2 10" xfId="9097" xr:uid="{74199D2F-F17A-42DD-AC8B-D958FBFFCA8B}"/>
    <cellStyle name="Currency 5 2 2 3 2 10 2" xfId="18421" xr:uid="{AF16BAEC-1CA0-460B-AFBA-8154F22DF053}"/>
    <cellStyle name="Currency 5 2 2 3 2 11" xfId="9754" xr:uid="{1F91DED3-FC95-40F9-94A4-A4FF3315C66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D2B69AFF-82BA-4597-BDEF-69CDE4FF4D11}"/>
    <cellStyle name="Currency 5 2 2 3 2 2 2 3" xfId="12313" xr:uid="{4B3CA53E-C90D-4D1F-BDA5-850B392EAAEE}"/>
    <cellStyle name="Currency 5 2 2 3 2 2 3" xfId="5059" xr:uid="{00000000-0005-0000-0000-0000CB0B0000}"/>
    <cellStyle name="Currency 5 2 2 3 2 2 3 2" xfId="14385" xr:uid="{C2EB6687-FFC5-47FE-ACCC-1FA5A49DFB9C}"/>
    <cellStyle name="Currency 5 2 2 3 2 2 4" xfId="9522" xr:uid="{58EAFCD4-DA5B-47CB-A637-29DA003AA3FD}"/>
    <cellStyle name="Currency 5 2 2 3 2 2 4 2" xfId="18837" xr:uid="{86E17731-4075-4E8C-B48E-AED798CBA254}"/>
    <cellStyle name="Currency 5 2 2 3 2 2 5" xfId="10168" xr:uid="{1D03A868-A45B-4CB6-A020-F399824BDCB4}"/>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6FB54E56-FF13-4AD7-B96B-D39F35A78EBF}"/>
    <cellStyle name="Currency 5 2 2 3 2 3 2 3" xfId="12726" xr:uid="{A4455FD5-B701-4F51-A77E-FAE16FA76AE2}"/>
    <cellStyle name="Currency 5 2 2 3 2 3 3" xfId="5472" xr:uid="{00000000-0005-0000-0000-0000CF0B0000}"/>
    <cellStyle name="Currency 5 2 2 3 2 3 3 2" xfId="14798" xr:uid="{1905A8C9-D99C-46D1-9250-A5CF44441056}"/>
    <cellStyle name="Currency 5 2 2 3 2 3 4" xfId="10581" xr:uid="{D42E574A-B60F-42D7-A620-C60F8AC5806A}"/>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C9632471-B376-420A-8A27-9A51CAD966F0}"/>
    <cellStyle name="Currency 5 2 2 3 2 4 2 3" xfId="13139" xr:uid="{82851096-7B82-4D24-9C86-E8C3DAE79F2A}"/>
    <cellStyle name="Currency 5 2 2 3 2 4 3" xfId="5885" xr:uid="{00000000-0005-0000-0000-0000D30B0000}"/>
    <cellStyle name="Currency 5 2 2 3 2 4 3 2" xfId="15211" xr:uid="{BE4CDC7C-E9C8-4B21-91C8-3BD731871330}"/>
    <cellStyle name="Currency 5 2 2 3 2 4 4" xfId="10994" xr:uid="{5B10839B-F9AB-40CA-9716-8716BD97702D}"/>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81504E54-4F0A-4A53-B64F-B7A42BA580BC}"/>
    <cellStyle name="Currency 5 2 2 3 2 5 2 3" xfId="13552" xr:uid="{29D6D110-B415-41A2-B11C-3DA7C8305D42}"/>
    <cellStyle name="Currency 5 2 2 3 2 5 3" xfId="6298" xr:uid="{00000000-0005-0000-0000-0000D70B0000}"/>
    <cellStyle name="Currency 5 2 2 3 2 5 3 2" xfId="15624" xr:uid="{DD096681-4923-491E-B8DA-981B06DFD4FE}"/>
    <cellStyle name="Currency 5 2 2 3 2 5 4" xfId="11407" xr:uid="{5A75EBD4-5579-4D18-859F-921FA3BEBA6E}"/>
    <cellStyle name="Currency 5 2 2 3 2 6" xfId="2427" xr:uid="{00000000-0005-0000-0000-0000D80B0000}"/>
    <cellStyle name="Currency 5 2 2 3 2 6 2" xfId="6711" xr:uid="{00000000-0005-0000-0000-0000D90B0000}"/>
    <cellStyle name="Currency 5 2 2 3 2 6 2 2" xfId="16037" xr:uid="{B164BA31-7C06-4476-8FED-88313CBFAB62}"/>
    <cellStyle name="Currency 5 2 2 3 2 6 3" xfId="11820" xr:uid="{3BEA0206-A3C5-4D6A-A0CA-7F936FAAD4B4}"/>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F5877481-D08E-487F-857C-387487F6D351}"/>
    <cellStyle name="Currency 5 2 2 3 2 8 3" xfId="12137" xr:uid="{C5AD1647-A414-4890-BB0D-2409D8B6F27F}"/>
    <cellStyle name="Currency 5 2 2 3 2 9" xfId="4645" xr:uid="{00000000-0005-0000-0000-0000DD0B0000}"/>
    <cellStyle name="Currency 5 2 2 3 2 9 2" xfId="13971" xr:uid="{73FA99E2-7349-4E4D-B110-427B335072DD}"/>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AD8ADE9A-2DE0-4A22-B6EF-A3D734238089}"/>
    <cellStyle name="Currency 5 2 2 3 3 2 3" xfId="12312" xr:uid="{8161651F-C09D-4F45-9670-EEC9AB98D88C}"/>
    <cellStyle name="Currency 5 2 2 3 3 3" xfId="5058" xr:uid="{00000000-0005-0000-0000-0000E10B0000}"/>
    <cellStyle name="Currency 5 2 2 3 3 3 2" xfId="14384" xr:uid="{F315D02E-F86A-4FCD-81C0-3FAD4E07F5CB}"/>
    <cellStyle name="Currency 5 2 2 3 3 4" xfId="9315" xr:uid="{A76EC348-1CDB-41C1-B9B8-9215FF30C619}"/>
    <cellStyle name="Currency 5 2 2 3 3 4 2" xfId="18630" xr:uid="{8715AC21-D495-4E94-8431-DC70CA07A8F0}"/>
    <cellStyle name="Currency 5 2 2 3 3 5" xfId="10167" xr:uid="{8F381808-0CFF-4278-945D-725B6A964B4D}"/>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E3A12B87-84B5-4B8F-A610-BE720C9BAD88}"/>
    <cellStyle name="Currency 5 2 2 3 4 2 3" xfId="12725" xr:uid="{BEE5387E-189A-4C73-8177-9D66BC96F056}"/>
    <cellStyle name="Currency 5 2 2 3 4 3" xfId="5471" xr:uid="{00000000-0005-0000-0000-0000E50B0000}"/>
    <cellStyle name="Currency 5 2 2 3 4 3 2" xfId="14797" xr:uid="{B772276F-23AB-4B37-9377-041E22DB79F5}"/>
    <cellStyle name="Currency 5 2 2 3 4 4" xfId="10580" xr:uid="{B936E646-9DD3-4BA8-BAE5-AB0DA44E96B5}"/>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E8BC8CA2-6A91-4631-8863-DFDDCE72D1E2}"/>
    <cellStyle name="Currency 5 2 2 3 5 2 3" xfId="13138" xr:uid="{E3F65EA7-6B99-4035-A312-2C0E006859BE}"/>
    <cellStyle name="Currency 5 2 2 3 5 3" xfId="5884" xr:uid="{00000000-0005-0000-0000-0000E90B0000}"/>
    <cellStyle name="Currency 5 2 2 3 5 3 2" xfId="15210" xr:uid="{A032B60F-EE5E-4B2D-9E71-E032EE38CC3D}"/>
    <cellStyle name="Currency 5 2 2 3 5 4" xfId="10993" xr:uid="{984B5017-358F-4617-92ED-36C5ECFDF7E1}"/>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302D4CAE-6B75-4E15-9CA7-635417C97904}"/>
    <cellStyle name="Currency 5 2 2 3 6 2 3" xfId="13551" xr:uid="{FBF19719-3436-4BD2-938B-F0499E641FCB}"/>
    <cellStyle name="Currency 5 2 2 3 6 3" xfId="6297" xr:uid="{00000000-0005-0000-0000-0000ED0B0000}"/>
    <cellStyle name="Currency 5 2 2 3 6 3 2" xfId="15623" xr:uid="{16131AD7-772C-4A9C-AE39-F3975AD5412F}"/>
    <cellStyle name="Currency 5 2 2 3 6 4" xfId="11406" xr:uid="{2FF0FCC7-32CA-4E34-A5D9-52A10543CD04}"/>
    <cellStyle name="Currency 5 2 2 3 7" xfId="2426" xr:uid="{00000000-0005-0000-0000-0000EE0B0000}"/>
    <cellStyle name="Currency 5 2 2 3 7 2" xfId="6710" xr:uid="{00000000-0005-0000-0000-0000EF0B0000}"/>
    <cellStyle name="Currency 5 2 2 3 7 2 2" xfId="16036" xr:uid="{658C7EC2-3483-43D3-8880-02E0AF78044D}"/>
    <cellStyle name="Currency 5 2 2 3 7 3" xfId="11819" xr:uid="{FBCD0FFF-4C32-4C22-8716-9940A2D733F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AE3712B3-2054-4538-9168-FB8F6B547F61}"/>
    <cellStyle name="Currency 5 2 2 3 9 3" xfId="12136" xr:uid="{6B095226-D390-4B0B-9A2C-EE8B6D8D2863}"/>
    <cellStyle name="Currency 5 2 2 4" xfId="202" xr:uid="{00000000-0005-0000-0000-0000F30B0000}"/>
    <cellStyle name="Currency 5 2 2 4 10" xfId="8994" xr:uid="{484CCE7A-1288-4C7F-ABD6-C45948DC4EC0}"/>
    <cellStyle name="Currency 5 2 2 4 10 2" xfId="18318" xr:uid="{B2C7B1F9-F8D7-4F89-B733-76CB1BA1B9D0}"/>
    <cellStyle name="Currency 5 2 2 4 11" xfId="9755" xr:uid="{3EC6F8AE-CC87-4861-A84F-43CE886E9085}"/>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E35CDC58-73E1-4211-BB97-D224A8A49563}"/>
    <cellStyle name="Currency 5 2 2 4 2 2 3" xfId="12314" xr:uid="{49C0CC5B-A902-4240-B136-828DEF907ADB}"/>
    <cellStyle name="Currency 5 2 2 4 2 3" xfId="5060" xr:uid="{00000000-0005-0000-0000-0000F70B0000}"/>
    <cellStyle name="Currency 5 2 2 4 2 3 2" xfId="14386" xr:uid="{F697311E-5902-4695-9F34-F8EBE0D458BF}"/>
    <cellStyle name="Currency 5 2 2 4 2 4" xfId="9419" xr:uid="{F03E4D2E-3BA9-4D5B-9C35-959DB128CBAE}"/>
    <cellStyle name="Currency 5 2 2 4 2 4 2" xfId="18734" xr:uid="{0C8CA1B2-EA23-4742-87FB-254DF0A17DF4}"/>
    <cellStyle name="Currency 5 2 2 4 2 5" xfId="10169" xr:uid="{40AB3F7F-C62B-45BA-B377-BE761A2C82E6}"/>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DC829B71-3314-490C-B309-BE659B85336D}"/>
    <cellStyle name="Currency 5 2 2 4 3 2 3" xfId="12727" xr:uid="{9EDD340F-4ADE-4F89-87F0-65E0C8FDCA98}"/>
    <cellStyle name="Currency 5 2 2 4 3 3" xfId="5473" xr:uid="{00000000-0005-0000-0000-0000FB0B0000}"/>
    <cellStyle name="Currency 5 2 2 4 3 3 2" xfId="14799" xr:uid="{A0EBCFD3-7115-4612-BE43-D5927090B14D}"/>
    <cellStyle name="Currency 5 2 2 4 3 4" xfId="10582" xr:uid="{BA97307A-AF74-4D6C-9D80-1F46FC36EB5D}"/>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D50BC9E8-2D22-47EE-86B9-715D1D10A81C}"/>
    <cellStyle name="Currency 5 2 2 4 4 2 3" xfId="13140" xr:uid="{AB5292F1-DFF1-48FE-AF0A-F1110E7D42FC}"/>
    <cellStyle name="Currency 5 2 2 4 4 3" xfId="5886" xr:uid="{00000000-0005-0000-0000-0000FF0B0000}"/>
    <cellStyle name="Currency 5 2 2 4 4 3 2" xfId="15212" xr:uid="{6B80F411-29B1-45ED-8277-F0E8616A1F78}"/>
    <cellStyle name="Currency 5 2 2 4 4 4" xfId="10995" xr:uid="{A1E624F0-3945-4884-BBD5-ED6540D1B1C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EB587F30-174D-4FD4-812A-64F750F78CAA}"/>
    <cellStyle name="Currency 5 2 2 4 5 2 3" xfId="13553" xr:uid="{D30DBE5C-E26D-4D46-92E1-7F11D577355F}"/>
    <cellStyle name="Currency 5 2 2 4 5 3" xfId="6299" xr:uid="{00000000-0005-0000-0000-0000030C0000}"/>
    <cellStyle name="Currency 5 2 2 4 5 3 2" xfId="15625" xr:uid="{4BEDC75E-BE79-48C3-9863-DC517CB59FD4}"/>
    <cellStyle name="Currency 5 2 2 4 5 4" xfId="11408" xr:uid="{36C45980-7B5F-494E-A6B8-84F8667D4D5E}"/>
    <cellStyle name="Currency 5 2 2 4 6" xfId="2428" xr:uid="{00000000-0005-0000-0000-0000040C0000}"/>
    <cellStyle name="Currency 5 2 2 4 6 2" xfId="6712" xr:uid="{00000000-0005-0000-0000-0000050C0000}"/>
    <cellStyle name="Currency 5 2 2 4 6 2 2" xfId="16038" xr:uid="{155E12BA-AD0F-489E-B828-2BA420F397D0}"/>
    <cellStyle name="Currency 5 2 2 4 6 3" xfId="11821" xr:uid="{9B3DEDFF-6289-4E59-A513-3A718B720E1E}"/>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D61F288F-0B36-44C9-A32E-ED95C006D389}"/>
    <cellStyle name="Currency 5 2 2 4 8 3" xfId="12138" xr:uid="{041E327C-39B1-4F5B-98C8-FECAA44E000E}"/>
    <cellStyle name="Currency 5 2 2 4 9" xfId="4646" xr:uid="{00000000-0005-0000-0000-0000090C0000}"/>
    <cellStyle name="Currency 5 2 2 4 9 2" xfId="13972" xr:uid="{EEB85C73-92EB-48ED-8CDD-DE1DDCDC1960}"/>
    <cellStyle name="Currency 5 2 2 5" xfId="203" xr:uid="{00000000-0005-0000-0000-00000A0C0000}"/>
    <cellStyle name="Currency 5 2 2 5 10" xfId="9211" xr:uid="{586E1D8D-A72F-44A2-BAB5-A0BAD4827F6D}"/>
    <cellStyle name="Currency 5 2 2 5 10 2" xfId="18527" xr:uid="{7128B6BF-0B10-440D-AC1E-BBB72D3CFD3E}"/>
    <cellStyle name="Currency 5 2 2 5 11" xfId="9756" xr:uid="{D172D06F-9C6E-4C2B-B72C-042E1A05ED9C}"/>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090DF7F9-D42B-495F-891F-99B70131C2C9}"/>
    <cellStyle name="Currency 5 2 2 5 2 2 3" xfId="12315" xr:uid="{184304C6-187B-496C-B16D-F9E68850EF62}"/>
    <cellStyle name="Currency 5 2 2 5 2 3" xfId="5061" xr:uid="{00000000-0005-0000-0000-00000E0C0000}"/>
    <cellStyle name="Currency 5 2 2 5 2 3 2" xfId="14387" xr:uid="{F9F1E84D-9793-4CCA-9BA0-1E8197DE29A5}"/>
    <cellStyle name="Currency 5 2 2 5 2 4" xfId="9598" xr:uid="{EBD3270B-608E-49E1-8A20-C5ADF81FBC1B}"/>
    <cellStyle name="Currency 5 2 2 5 2 4 2" xfId="18902" xr:uid="{08763655-4FDA-4B70-8D2E-777FA39097D7}"/>
    <cellStyle name="Currency 5 2 2 5 2 5" xfId="10170" xr:uid="{1EC37024-0097-498E-A64C-24A08060584C}"/>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0300A76F-F526-419B-B922-CA74EE80388E}"/>
    <cellStyle name="Currency 5 2 2 5 3 2 3" xfId="12728" xr:uid="{FDC0CD6D-5AD1-46EB-8805-183E0F5A2A3E}"/>
    <cellStyle name="Currency 5 2 2 5 3 3" xfId="5474" xr:uid="{00000000-0005-0000-0000-0000120C0000}"/>
    <cellStyle name="Currency 5 2 2 5 3 3 2" xfId="14800" xr:uid="{BAB15C70-72B7-4367-89DF-913888E23FC2}"/>
    <cellStyle name="Currency 5 2 2 5 3 4" xfId="10583" xr:uid="{1E884508-44FC-4367-82A2-E683AC586A58}"/>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D025ABE6-C683-4986-9970-3F35B8B1E3CD}"/>
    <cellStyle name="Currency 5 2 2 5 4 2 3" xfId="13141" xr:uid="{021F44B5-F3BC-4C1C-B4D2-B86FDD2C91A4}"/>
    <cellStyle name="Currency 5 2 2 5 4 3" xfId="5887" xr:uid="{00000000-0005-0000-0000-0000160C0000}"/>
    <cellStyle name="Currency 5 2 2 5 4 3 2" xfId="15213" xr:uid="{83C1ACD7-6A0E-4A00-8429-951566B3C7BE}"/>
    <cellStyle name="Currency 5 2 2 5 4 4" xfId="10996" xr:uid="{CE316703-3600-4B69-A9C7-C72A992FAD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63D4766F-F18F-44AF-964C-6D57A873A320}"/>
    <cellStyle name="Currency 5 2 2 5 5 2 3" xfId="13554" xr:uid="{B374FC1D-C098-408D-917E-4B06364BDC72}"/>
    <cellStyle name="Currency 5 2 2 5 5 3" xfId="6300" xr:uid="{00000000-0005-0000-0000-00001A0C0000}"/>
    <cellStyle name="Currency 5 2 2 5 5 3 2" xfId="15626" xr:uid="{636A7A2D-CFE7-4D9C-9884-8AD3FD747590}"/>
    <cellStyle name="Currency 5 2 2 5 5 4" xfId="11409" xr:uid="{3A4DC438-9723-4635-96C2-4BE87294F222}"/>
    <cellStyle name="Currency 5 2 2 5 6" xfId="2429" xr:uid="{00000000-0005-0000-0000-00001B0C0000}"/>
    <cellStyle name="Currency 5 2 2 5 6 2" xfId="6713" xr:uid="{00000000-0005-0000-0000-00001C0C0000}"/>
    <cellStyle name="Currency 5 2 2 5 6 2 2" xfId="16039" xr:uid="{2ADC3512-F0B2-443C-B00F-0A4B8B598D17}"/>
    <cellStyle name="Currency 5 2 2 5 6 3" xfId="11822" xr:uid="{7C7EDA04-8E99-42A0-8EDC-B38DE7A7FAAB}"/>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DC08DE80-1D98-41B5-B57E-0E56B43588D7}"/>
    <cellStyle name="Currency 5 2 2 5 8 3" xfId="12139" xr:uid="{347D4475-3D60-49FE-8D43-DCF7C940D4DD}"/>
    <cellStyle name="Currency 5 2 2 5 9" xfId="4647" xr:uid="{00000000-0005-0000-0000-0000200C0000}"/>
    <cellStyle name="Currency 5 2 2 5 9 2" xfId="13973" xr:uid="{032C1647-3FD8-4C11-96C4-E8B1B64E1E19}"/>
    <cellStyle name="Currency 5 2 2 6" xfId="9584" xr:uid="{DC5749FB-A314-4F8C-B61F-309C27A570F5}"/>
    <cellStyle name="Currency 5 2 2 7" xfId="8787" xr:uid="{822EE7D8-70A6-49D7-843D-E84C848DC397}"/>
    <cellStyle name="Currency 5 2 2 7 2" xfId="18111" xr:uid="{298BD036-94FE-4AD7-AC27-A6D055EFC8DB}"/>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0FF3BFF2-94E3-4859-8AF2-C89E612C1BEF}"/>
    <cellStyle name="Currency 5 2 4 11" xfId="8859" xr:uid="{D3A5F8AD-5F4E-4BEA-A9B4-9A705A015524}"/>
    <cellStyle name="Currency 5 2 4 11 2" xfId="18183" xr:uid="{6C72587B-00E0-4579-A451-427B41607580}"/>
    <cellStyle name="Currency 5 2 4 12" xfId="9757" xr:uid="{7C3D4614-F471-445E-80A4-8C3914E6C106}"/>
    <cellStyle name="Currency 5 2 4 2" xfId="206" xr:uid="{00000000-0005-0000-0000-0000250C0000}"/>
    <cellStyle name="Currency 5 2 4 2 10" xfId="9066" xr:uid="{2F7A28AF-2120-4AAF-A58B-33C2E07F597D}"/>
    <cellStyle name="Currency 5 2 4 2 10 2" xfId="18390" xr:uid="{F398107E-3EBA-46B9-92DE-4F4AD52D5C63}"/>
    <cellStyle name="Currency 5 2 4 2 11" xfId="9758" xr:uid="{9A60BD54-2BCB-474B-A316-66C776353A5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8654D5DB-4A05-4497-A3F1-4F694A52D061}"/>
    <cellStyle name="Currency 5 2 4 2 2 2 3" xfId="12317" xr:uid="{372C9940-0B77-469D-98F7-EE953BFA910F}"/>
    <cellStyle name="Currency 5 2 4 2 2 3" xfId="5063" xr:uid="{00000000-0005-0000-0000-0000290C0000}"/>
    <cellStyle name="Currency 5 2 4 2 2 3 2" xfId="14389" xr:uid="{91AFDABF-CE4A-4B33-BEC6-92B4907F144B}"/>
    <cellStyle name="Currency 5 2 4 2 2 4" xfId="9491" xr:uid="{64B868C7-9024-4970-9E74-7DF82417BD7A}"/>
    <cellStyle name="Currency 5 2 4 2 2 4 2" xfId="18806" xr:uid="{58D30C92-BAA8-4D9D-BE22-ECA7AD4EC660}"/>
    <cellStyle name="Currency 5 2 4 2 2 5" xfId="10172" xr:uid="{EA8A05A1-8592-4C45-BB4F-66785C74E448}"/>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C26C424C-3F7E-481E-A094-BDF8AB372CBE}"/>
    <cellStyle name="Currency 5 2 4 2 3 2 3" xfId="12730" xr:uid="{04204B25-5E62-435A-9E96-A5C2C1E5008F}"/>
    <cellStyle name="Currency 5 2 4 2 3 3" xfId="5476" xr:uid="{00000000-0005-0000-0000-00002D0C0000}"/>
    <cellStyle name="Currency 5 2 4 2 3 3 2" xfId="14802" xr:uid="{639B10B6-E14B-427E-9B71-17AE2AC439C1}"/>
    <cellStyle name="Currency 5 2 4 2 3 4" xfId="10585" xr:uid="{A209E14E-EB92-46E3-ABE6-C4F416A4C46A}"/>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93E81A29-C2EA-4996-BB84-8B5A799699FD}"/>
    <cellStyle name="Currency 5 2 4 2 4 2 3" xfId="13143" xr:uid="{C74373A6-9A97-435B-8840-9865CF801671}"/>
    <cellStyle name="Currency 5 2 4 2 4 3" xfId="5889" xr:uid="{00000000-0005-0000-0000-0000310C0000}"/>
    <cellStyle name="Currency 5 2 4 2 4 3 2" xfId="15215" xr:uid="{A72948E0-D7CA-478E-8BF9-6A1637593F60}"/>
    <cellStyle name="Currency 5 2 4 2 4 4" xfId="10998" xr:uid="{B47260C1-2B00-4D93-9371-3D4EAA7C325A}"/>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02A95274-8BD1-47A3-BE90-0DC3FBEFE247}"/>
    <cellStyle name="Currency 5 2 4 2 5 2 3" xfId="13556" xr:uid="{643B6573-238B-4FD4-8921-179F633004CB}"/>
    <cellStyle name="Currency 5 2 4 2 5 3" xfId="6302" xr:uid="{00000000-0005-0000-0000-0000350C0000}"/>
    <cellStyle name="Currency 5 2 4 2 5 3 2" xfId="15628" xr:uid="{C00DF0E4-8071-4BC0-BA29-89586F5D1BAF}"/>
    <cellStyle name="Currency 5 2 4 2 5 4" xfId="11411" xr:uid="{3FEF3260-5396-445A-9FB4-BBE5C78038DB}"/>
    <cellStyle name="Currency 5 2 4 2 6" xfId="2431" xr:uid="{00000000-0005-0000-0000-0000360C0000}"/>
    <cellStyle name="Currency 5 2 4 2 6 2" xfId="6715" xr:uid="{00000000-0005-0000-0000-0000370C0000}"/>
    <cellStyle name="Currency 5 2 4 2 6 2 2" xfId="16041" xr:uid="{9CF408B3-1396-4A8A-B6F6-D182D67BAD3D}"/>
    <cellStyle name="Currency 5 2 4 2 6 3" xfId="11824" xr:uid="{85138D77-7106-4D4B-AB8B-C07444BEBD4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D00022C2-DFDE-4728-A071-15077FE34719}"/>
    <cellStyle name="Currency 5 2 4 2 8 3" xfId="12141" xr:uid="{8CBA6761-9A2A-4D9A-95EA-58A117F550FC}"/>
    <cellStyle name="Currency 5 2 4 2 9" xfId="4649" xr:uid="{00000000-0005-0000-0000-00003B0C0000}"/>
    <cellStyle name="Currency 5 2 4 2 9 2" xfId="13975" xr:uid="{AA909ABA-D9B3-42DC-B43E-5947072B340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31CE3260-DDC5-4444-A3AB-7D54893C3F70}"/>
    <cellStyle name="Currency 5 2 4 3 2 3" xfId="12316" xr:uid="{BC0BD09F-C6C5-4F1F-AAF4-35C2D816180F}"/>
    <cellStyle name="Currency 5 2 4 3 3" xfId="5062" xr:uid="{00000000-0005-0000-0000-00003F0C0000}"/>
    <cellStyle name="Currency 5 2 4 3 3 2" xfId="14388" xr:uid="{45B42FE7-5FDF-4271-8CCC-C106CA6DB5A6}"/>
    <cellStyle name="Currency 5 2 4 3 4" xfId="9284" xr:uid="{1D0B72AC-AFAC-428F-8BF0-6DFF9565613D}"/>
    <cellStyle name="Currency 5 2 4 3 4 2" xfId="18599" xr:uid="{9025580F-956D-4CE8-B308-679D84BFF408}"/>
    <cellStyle name="Currency 5 2 4 3 5" xfId="10171" xr:uid="{00D21B72-61E7-438D-A9A9-5758C5966885}"/>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80893FA2-558B-4C90-A09B-7C7B54FBC0B3}"/>
    <cellStyle name="Currency 5 2 4 4 2 3" xfId="12729" xr:uid="{C4C00133-AFEB-4C0C-B892-D4765DAD1C34}"/>
    <cellStyle name="Currency 5 2 4 4 3" xfId="5475" xr:uid="{00000000-0005-0000-0000-0000430C0000}"/>
    <cellStyle name="Currency 5 2 4 4 3 2" xfId="14801" xr:uid="{CC3C7953-9B16-48C6-83F4-4297366F9337}"/>
    <cellStyle name="Currency 5 2 4 4 4" xfId="10584" xr:uid="{1F90186A-8903-4783-B306-A06359DD3E61}"/>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314C340C-22B9-4EEE-80B2-86193604A894}"/>
    <cellStyle name="Currency 5 2 4 5 2 3" xfId="13142" xr:uid="{28B2ACBA-D9BA-4EDE-986C-ACFFF11A6626}"/>
    <cellStyle name="Currency 5 2 4 5 3" xfId="5888" xr:uid="{00000000-0005-0000-0000-0000470C0000}"/>
    <cellStyle name="Currency 5 2 4 5 3 2" xfId="15214" xr:uid="{54B092F8-F0B3-4FED-B7EF-CDC05651F835}"/>
    <cellStyle name="Currency 5 2 4 5 4" xfId="10997" xr:uid="{A4ACB143-68A1-42FA-B531-3AEC229E7894}"/>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9B84906C-31A8-48C2-8659-A58DF15B1685}"/>
    <cellStyle name="Currency 5 2 4 6 2 3" xfId="13555" xr:uid="{F8603DD6-9AE2-4C4F-958F-F00404970C9B}"/>
    <cellStyle name="Currency 5 2 4 6 3" xfId="6301" xr:uid="{00000000-0005-0000-0000-00004B0C0000}"/>
    <cellStyle name="Currency 5 2 4 6 3 2" xfId="15627" xr:uid="{5C00B686-432A-4688-8676-A1975B402282}"/>
    <cellStyle name="Currency 5 2 4 6 4" xfId="11410" xr:uid="{CA444AC2-7BC1-4A41-89EB-4D5936E3090F}"/>
    <cellStyle name="Currency 5 2 4 7" xfId="2430" xr:uid="{00000000-0005-0000-0000-00004C0C0000}"/>
    <cellStyle name="Currency 5 2 4 7 2" xfId="6714" xr:uid="{00000000-0005-0000-0000-00004D0C0000}"/>
    <cellStyle name="Currency 5 2 4 7 2 2" xfId="16040" xr:uid="{0D10A997-5B9A-423C-A16C-DDACBFEA0577}"/>
    <cellStyle name="Currency 5 2 4 7 3" xfId="11823" xr:uid="{6E59B8ED-26B4-4B34-A010-19C693750D3B}"/>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65C28EC2-BC79-4E36-90E9-1D2100E33F89}"/>
    <cellStyle name="Currency 5 2 4 9 3" xfId="12140" xr:uid="{CE01E0B2-4C48-4D1D-9D7A-86615FDBB432}"/>
    <cellStyle name="Currency 5 2 5" xfId="207" xr:uid="{00000000-0005-0000-0000-0000510C0000}"/>
    <cellStyle name="Currency 5 2 5 10" xfId="8975" xr:uid="{3422EC31-C47F-46E0-A50C-FE05B1979387}"/>
    <cellStyle name="Currency 5 2 5 10 2" xfId="18299" xr:uid="{6D9AF950-C049-4945-BCC3-804F6A7CF7C6}"/>
    <cellStyle name="Currency 5 2 5 11" xfId="9759" xr:uid="{BA803A1D-408A-4CB7-ADBB-025CE860A39C}"/>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E23F7EF6-86F5-4F3B-A517-948D26B1AE5A}"/>
    <cellStyle name="Currency 5 2 5 2 2 3" xfId="12318" xr:uid="{942B63D3-AA9A-4DA3-8114-5C5991F558BF}"/>
    <cellStyle name="Currency 5 2 5 2 3" xfId="5064" xr:uid="{00000000-0005-0000-0000-0000550C0000}"/>
    <cellStyle name="Currency 5 2 5 2 3 2" xfId="14390" xr:uid="{F2E10292-B7EF-4768-BF4F-2BD528E6A755}"/>
    <cellStyle name="Currency 5 2 5 2 4" xfId="9400" xr:uid="{6620DDCD-05C0-4AFD-8A83-F1190101CCB3}"/>
    <cellStyle name="Currency 5 2 5 2 4 2" xfId="18715" xr:uid="{12D0A155-EB6D-41A8-8EBE-36C85BD479F9}"/>
    <cellStyle name="Currency 5 2 5 2 5" xfId="10173" xr:uid="{D0F852C4-E314-491A-AE3D-A9D19F6A9E5B}"/>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91B5C458-FACD-4F20-BE84-62B417FB9B81}"/>
    <cellStyle name="Currency 5 2 5 3 2 3" xfId="12731" xr:uid="{FADADCD9-85A0-43F9-850A-657D1E5FBCC5}"/>
    <cellStyle name="Currency 5 2 5 3 3" xfId="5477" xr:uid="{00000000-0005-0000-0000-0000590C0000}"/>
    <cellStyle name="Currency 5 2 5 3 3 2" xfId="14803" xr:uid="{9FE58CA1-ECCE-4FB1-8AA4-5B4BB7831FE9}"/>
    <cellStyle name="Currency 5 2 5 3 4" xfId="10586" xr:uid="{DBA1E61F-006A-4A06-8A38-3666751DE06F}"/>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2815AFD5-6A28-4914-9017-037A63B489DF}"/>
    <cellStyle name="Currency 5 2 5 4 2 3" xfId="13144" xr:uid="{B3480FE0-0609-434C-A27B-AB62A7A7B2AA}"/>
    <cellStyle name="Currency 5 2 5 4 3" xfId="5890" xr:uid="{00000000-0005-0000-0000-00005D0C0000}"/>
    <cellStyle name="Currency 5 2 5 4 3 2" xfId="15216" xr:uid="{F9AE1F08-8202-4FD4-AF9A-152049538746}"/>
    <cellStyle name="Currency 5 2 5 4 4" xfId="10999" xr:uid="{6B3DCBF8-34AE-4DED-9D83-DE98D7037E45}"/>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DEA26EDA-EAE4-4FE5-BE67-BA866E1F30B4}"/>
    <cellStyle name="Currency 5 2 5 5 2 3" xfId="13557" xr:uid="{50270EEA-29B6-4413-AFE2-08A16493D8A5}"/>
    <cellStyle name="Currency 5 2 5 5 3" xfId="6303" xr:uid="{00000000-0005-0000-0000-0000610C0000}"/>
    <cellStyle name="Currency 5 2 5 5 3 2" xfId="15629" xr:uid="{6022AFE6-1E6D-4191-BAD1-1557CFF31973}"/>
    <cellStyle name="Currency 5 2 5 5 4" xfId="11412" xr:uid="{DE888E08-1572-4BDF-AED3-0482857E98A0}"/>
    <cellStyle name="Currency 5 2 5 6" xfId="2432" xr:uid="{00000000-0005-0000-0000-0000620C0000}"/>
    <cellStyle name="Currency 5 2 5 6 2" xfId="6716" xr:uid="{00000000-0005-0000-0000-0000630C0000}"/>
    <cellStyle name="Currency 5 2 5 6 2 2" xfId="16042" xr:uid="{3F85E186-A848-4920-B752-D938E439901A}"/>
    <cellStyle name="Currency 5 2 5 6 3" xfId="11825" xr:uid="{25FBCB5E-3AC1-40A0-A945-A740A75BDA0B}"/>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541A4DD8-A371-4CE9-80B2-4F5979A686E0}"/>
    <cellStyle name="Currency 5 2 5 8 3" xfId="12142" xr:uid="{391D29E1-8E63-4A8D-B8B3-61DAB6BA6321}"/>
    <cellStyle name="Currency 5 2 5 9" xfId="4650" xr:uid="{00000000-0005-0000-0000-0000670C0000}"/>
    <cellStyle name="Currency 5 2 5 9 2" xfId="13976" xr:uid="{D976FA61-5993-441A-A131-EEE0480A0DFF}"/>
    <cellStyle name="Currency 5 2 6" xfId="208" xr:uid="{00000000-0005-0000-0000-0000680C0000}"/>
    <cellStyle name="Currency 5 2 6 10" xfId="9178" xr:uid="{19F6D70E-88E4-4E39-A1A9-3FF3D840E2F9}"/>
    <cellStyle name="Currency 5 2 6 10 2" xfId="18496" xr:uid="{D902A7FB-AD56-48C7-9363-F838B28EE2A1}"/>
    <cellStyle name="Currency 5 2 6 11" xfId="9760" xr:uid="{6BD092D2-6380-4ADF-99D9-6FE3285B3E0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DC1A4715-768A-43FC-AF7E-E63B643D5D83}"/>
    <cellStyle name="Currency 5 2 6 2 2 3" xfId="12319" xr:uid="{A2842DE0-B5B7-43ED-8CD0-F5DF1C7D9E71}"/>
    <cellStyle name="Currency 5 2 6 2 3" xfId="5065" xr:uid="{00000000-0005-0000-0000-00006C0C0000}"/>
    <cellStyle name="Currency 5 2 6 2 3 2" xfId="14391" xr:uid="{CC4158A7-D845-4E51-8840-706EE50B7518}"/>
    <cellStyle name="Currency 5 2 6 2 4" xfId="9599" xr:uid="{C2EE182C-D73D-4E6C-9671-0484CB4E8D68}"/>
    <cellStyle name="Currency 5 2 6 2 4 2" xfId="18903" xr:uid="{B08E1861-B9FE-4442-AFF7-5CA239CC44EE}"/>
    <cellStyle name="Currency 5 2 6 2 5" xfId="10174" xr:uid="{831F11E0-89C6-44AF-887B-63F160B9EC63}"/>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C121E7C8-27E3-47B9-9119-F600F7AFD57A}"/>
    <cellStyle name="Currency 5 2 6 3 2 3" xfId="12732" xr:uid="{291C90A6-26F3-4448-9609-744B804E6D2D}"/>
    <cellStyle name="Currency 5 2 6 3 3" xfId="5478" xr:uid="{00000000-0005-0000-0000-0000700C0000}"/>
    <cellStyle name="Currency 5 2 6 3 3 2" xfId="14804" xr:uid="{C0CE4CD9-45AF-489D-ACC0-2A660B21F80D}"/>
    <cellStyle name="Currency 5 2 6 3 4" xfId="10587" xr:uid="{1EBD27FC-1D17-45C3-8A99-F55F82AC5670}"/>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0F8A8ECA-AB25-4328-8D6B-D39EC3F14B4B}"/>
    <cellStyle name="Currency 5 2 6 4 2 3" xfId="13145" xr:uid="{E3CF4171-4631-493E-B255-B81F88FEA6DE}"/>
    <cellStyle name="Currency 5 2 6 4 3" xfId="5891" xr:uid="{00000000-0005-0000-0000-0000740C0000}"/>
    <cellStyle name="Currency 5 2 6 4 3 2" xfId="15217" xr:uid="{5DB53298-F252-444E-B853-8F676EF25E8A}"/>
    <cellStyle name="Currency 5 2 6 4 4" xfId="11000" xr:uid="{5B944222-7394-4830-AB06-149100177DB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9B53B04B-75C8-498F-8A31-3E7F5348491A}"/>
    <cellStyle name="Currency 5 2 6 5 2 3" xfId="13558" xr:uid="{CE6A30F8-F08C-454E-895A-66270E64D0AC}"/>
    <cellStyle name="Currency 5 2 6 5 3" xfId="6304" xr:uid="{00000000-0005-0000-0000-0000780C0000}"/>
    <cellStyle name="Currency 5 2 6 5 3 2" xfId="15630" xr:uid="{D47D5264-8DCE-4FFF-9CE5-FAD5D44FCEF0}"/>
    <cellStyle name="Currency 5 2 6 5 4" xfId="11413" xr:uid="{1B3622E3-6450-4EAE-A69F-8E8476448160}"/>
    <cellStyle name="Currency 5 2 6 6" xfId="2433" xr:uid="{00000000-0005-0000-0000-0000790C0000}"/>
    <cellStyle name="Currency 5 2 6 6 2" xfId="6717" xr:uid="{00000000-0005-0000-0000-00007A0C0000}"/>
    <cellStyle name="Currency 5 2 6 6 2 2" xfId="16043" xr:uid="{7254AC20-C9E3-4A3D-8CAD-CCBDDAF2C32C}"/>
    <cellStyle name="Currency 5 2 6 6 3" xfId="11826" xr:uid="{7BE973C9-FCE6-4D5F-A24C-21FDF5207A5C}"/>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A05FA35D-2860-4BD1-9EC2-766EA8ED8797}"/>
    <cellStyle name="Currency 5 2 6 8 3" xfId="12143" xr:uid="{B54E7EB1-F9F4-435B-B51F-974EC8661D33}"/>
    <cellStyle name="Currency 5 2 6 9" xfId="4651" xr:uid="{00000000-0005-0000-0000-00007E0C0000}"/>
    <cellStyle name="Currency 5 2 6 9 2" xfId="13977" xr:uid="{9922619E-F537-45D2-A170-202E88CE40A4}"/>
    <cellStyle name="Currency 5 2 7" xfId="722" xr:uid="{00000000-0005-0000-0000-00007F0C0000}"/>
    <cellStyle name="Currency 5 2 8" xfId="8756" xr:uid="{D16196A2-D0A3-46A2-9B14-6B017B4CC82F}"/>
    <cellStyle name="Currency 5 2 8 2" xfId="18080" xr:uid="{741D4A5E-0F4E-444D-8E8B-041A8864463B}"/>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1002CFFE-DA6B-42F6-8957-87696F403DE5}"/>
    <cellStyle name="Currency 5 3 2 10 3" xfId="12144" xr:uid="{A05B2D9C-1645-414D-8F56-831D7838E698}"/>
    <cellStyle name="Currency 5 3 2 11" xfId="4652" xr:uid="{00000000-0005-0000-0000-0000840C0000}"/>
    <cellStyle name="Currency 5 3 2 11 2" xfId="13978" xr:uid="{AE206BE2-A365-43D3-BD04-37B36059F98E}"/>
    <cellStyle name="Currency 5 3 2 12" xfId="8810" xr:uid="{C5234FF9-D509-4CD8-ADA1-D3604CCF3D1F}"/>
    <cellStyle name="Currency 5 3 2 12 2" xfId="18134" xr:uid="{1BB91AFD-E722-49B2-B43B-1B2358A37BD6}"/>
    <cellStyle name="Currency 5 3 2 13" xfId="9761" xr:uid="{EF829073-4B85-4361-9719-55CC25578EE9}"/>
    <cellStyle name="Currency 5 3 2 2" xfId="211" xr:uid="{00000000-0005-0000-0000-0000850C0000}"/>
    <cellStyle name="Currency 5 3 2 2 10" xfId="4653" xr:uid="{00000000-0005-0000-0000-0000860C0000}"/>
    <cellStyle name="Currency 5 3 2 2 10 2" xfId="13979" xr:uid="{774B05D0-4D69-43A1-AB2A-09684182B22E}"/>
    <cellStyle name="Currency 5 3 2 2 11" xfId="8913" xr:uid="{FE033F82-2F16-4925-9899-F927AB9AA612}"/>
    <cellStyle name="Currency 5 3 2 2 11 2" xfId="18237" xr:uid="{4B76397A-B207-41D5-80B8-791E7E5E80A4}"/>
    <cellStyle name="Currency 5 3 2 2 12" xfId="9762" xr:uid="{3F785885-5FB2-4C9F-88B8-03E6FDDBC5E1}"/>
    <cellStyle name="Currency 5 3 2 2 2" xfId="212" xr:uid="{00000000-0005-0000-0000-0000870C0000}"/>
    <cellStyle name="Currency 5 3 2 2 2 10" xfId="9120" xr:uid="{D5536A1F-8418-4CB5-B1E0-470AD716374A}"/>
    <cellStyle name="Currency 5 3 2 2 2 10 2" xfId="18444" xr:uid="{09B44F27-343F-4919-921A-41C72850139D}"/>
    <cellStyle name="Currency 5 3 2 2 2 11" xfId="9763" xr:uid="{86CC7A28-905D-4AA3-B15D-405823D07776}"/>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20815A19-5AA0-449B-91A2-135CBC2FCF28}"/>
    <cellStyle name="Currency 5 3 2 2 2 2 2 3" xfId="12322" xr:uid="{605933D2-C486-49BD-98C2-88D8690653F0}"/>
    <cellStyle name="Currency 5 3 2 2 2 2 3" xfId="5068" xr:uid="{00000000-0005-0000-0000-00008B0C0000}"/>
    <cellStyle name="Currency 5 3 2 2 2 2 3 2" xfId="14394" xr:uid="{0F089A6B-7B63-42EE-B2AD-193B60456F8D}"/>
    <cellStyle name="Currency 5 3 2 2 2 2 4" xfId="9545" xr:uid="{F6C268D6-0334-42F7-AE4F-535ADD09B625}"/>
    <cellStyle name="Currency 5 3 2 2 2 2 4 2" xfId="18860" xr:uid="{EF389AF6-FA0A-44A3-A1F1-E012DF6B5193}"/>
    <cellStyle name="Currency 5 3 2 2 2 2 5" xfId="10177" xr:uid="{DF7E429C-CC9F-465F-BD20-6450B3AF6CE1}"/>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E95CFAB5-F82E-463F-9CA9-F3CF104E8DAC}"/>
    <cellStyle name="Currency 5 3 2 2 2 3 2 3" xfId="12735" xr:uid="{096A0C52-B302-4C8E-9310-A6494ECA0E1C}"/>
    <cellStyle name="Currency 5 3 2 2 2 3 3" xfId="5481" xr:uid="{00000000-0005-0000-0000-00008F0C0000}"/>
    <cellStyle name="Currency 5 3 2 2 2 3 3 2" xfId="14807" xr:uid="{16E2A3E1-550C-4661-90FF-0727F31CF967}"/>
    <cellStyle name="Currency 5 3 2 2 2 3 4" xfId="10590" xr:uid="{B2FCB5A2-E9C4-4402-9412-B830C76F439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B094908D-7946-4F45-AB85-7565F8843442}"/>
    <cellStyle name="Currency 5 3 2 2 2 4 2 3" xfId="13148" xr:uid="{2C65DF7D-0D51-47D5-BC1F-CA02494E5B37}"/>
    <cellStyle name="Currency 5 3 2 2 2 4 3" xfId="5894" xr:uid="{00000000-0005-0000-0000-0000930C0000}"/>
    <cellStyle name="Currency 5 3 2 2 2 4 3 2" xfId="15220" xr:uid="{969D6986-5262-4EA0-B0BD-9CE7D69D2884}"/>
    <cellStyle name="Currency 5 3 2 2 2 4 4" xfId="11003" xr:uid="{4388EFAB-F32F-4B6D-ABEA-84E0EBA3F99D}"/>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C69BC28A-13EE-4124-A553-40C198227808}"/>
    <cellStyle name="Currency 5 3 2 2 2 5 2 3" xfId="13561" xr:uid="{0754CF8F-E93B-4F0F-B278-66AB4E33B0C6}"/>
    <cellStyle name="Currency 5 3 2 2 2 5 3" xfId="6307" xr:uid="{00000000-0005-0000-0000-0000970C0000}"/>
    <cellStyle name="Currency 5 3 2 2 2 5 3 2" xfId="15633" xr:uid="{A844DF81-DBCD-4A97-A293-CDAF2C5EC127}"/>
    <cellStyle name="Currency 5 3 2 2 2 5 4" xfId="11416" xr:uid="{97C7FBF2-816B-4CAA-B205-3A7452522540}"/>
    <cellStyle name="Currency 5 3 2 2 2 6" xfId="2436" xr:uid="{00000000-0005-0000-0000-0000980C0000}"/>
    <cellStyle name="Currency 5 3 2 2 2 6 2" xfId="6720" xr:uid="{00000000-0005-0000-0000-0000990C0000}"/>
    <cellStyle name="Currency 5 3 2 2 2 6 2 2" xfId="16046" xr:uid="{F00D161F-2A9B-4DDB-A2DB-B723D07F53B0}"/>
    <cellStyle name="Currency 5 3 2 2 2 6 3" xfId="11829" xr:uid="{82857686-0EBF-47B5-9CC3-4D901C986751}"/>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51465651-1A3C-422F-8108-E93AE8E34818}"/>
    <cellStyle name="Currency 5 3 2 2 2 8 3" xfId="12146" xr:uid="{E4AC2B59-DBC8-48C3-BE05-EB9A6D734B62}"/>
    <cellStyle name="Currency 5 3 2 2 2 9" xfId="4654" xr:uid="{00000000-0005-0000-0000-00009D0C0000}"/>
    <cellStyle name="Currency 5 3 2 2 2 9 2" xfId="13980" xr:uid="{3C40F304-00D7-42DF-B4BA-C8FC94258852}"/>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B0B9885C-5CFD-4D16-9B87-A1775F868204}"/>
    <cellStyle name="Currency 5 3 2 2 3 2 3" xfId="12321" xr:uid="{237A7D72-97E2-4A86-BD3A-55F4CCFE1C7F}"/>
    <cellStyle name="Currency 5 3 2 2 3 3" xfId="5067" xr:uid="{00000000-0005-0000-0000-0000A10C0000}"/>
    <cellStyle name="Currency 5 3 2 2 3 3 2" xfId="14393" xr:uid="{9DA9501D-CF26-4FD3-9F3F-90FD8E2D186D}"/>
    <cellStyle name="Currency 5 3 2 2 3 4" xfId="9338" xr:uid="{E79296CA-9516-4DDA-84B2-A3B13AAA9D9D}"/>
    <cellStyle name="Currency 5 3 2 2 3 4 2" xfId="18653" xr:uid="{A611E764-C593-4DE5-BD2F-39FD7872A22E}"/>
    <cellStyle name="Currency 5 3 2 2 3 5" xfId="10176" xr:uid="{BC2F572C-C4F3-4DAD-8898-23211422F7E8}"/>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7F1F470E-7B07-47FF-9348-812BF7D456A2}"/>
    <cellStyle name="Currency 5 3 2 2 4 2 3" xfId="12734" xr:uid="{96830F20-F641-412A-BCD7-6B395E761AF5}"/>
    <cellStyle name="Currency 5 3 2 2 4 3" xfId="5480" xr:uid="{00000000-0005-0000-0000-0000A50C0000}"/>
    <cellStyle name="Currency 5 3 2 2 4 3 2" xfId="14806" xr:uid="{9DF26E73-91A5-44F2-8027-2D7AB32DC0A6}"/>
    <cellStyle name="Currency 5 3 2 2 4 4" xfId="10589" xr:uid="{A76FDAA7-1D05-4258-8718-97EC901DFE82}"/>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6BE9B2B7-DD06-4279-9B7B-83EE78BBCCE6}"/>
    <cellStyle name="Currency 5 3 2 2 5 2 3" xfId="13147" xr:uid="{F092E017-8440-4F79-8314-0C97DB3FFA69}"/>
    <cellStyle name="Currency 5 3 2 2 5 3" xfId="5893" xr:uid="{00000000-0005-0000-0000-0000A90C0000}"/>
    <cellStyle name="Currency 5 3 2 2 5 3 2" xfId="15219" xr:uid="{DBEA7F79-2B9C-44F4-BC06-42E7FB4EDFF1}"/>
    <cellStyle name="Currency 5 3 2 2 5 4" xfId="11002" xr:uid="{C70C3793-2106-4551-90A4-7EE3D0D2E435}"/>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7D2ADC10-0BB0-43D2-A020-3BB54CA7D1D8}"/>
    <cellStyle name="Currency 5 3 2 2 6 2 3" xfId="13560" xr:uid="{06F71BBD-526A-48DC-8764-86A12225FEC5}"/>
    <cellStyle name="Currency 5 3 2 2 6 3" xfId="6306" xr:uid="{00000000-0005-0000-0000-0000AD0C0000}"/>
    <cellStyle name="Currency 5 3 2 2 6 3 2" xfId="15632" xr:uid="{9BF2A5D1-D01B-477B-A0FF-2B8E620520F5}"/>
    <cellStyle name="Currency 5 3 2 2 6 4" xfId="11415" xr:uid="{910B87B1-A066-4579-A618-F43083EBAE95}"/>
    <cellStyle name="Currency 5 3 2 2 7" xfId="2435" xr:uid="{00000000-0005-0000-0000-0000AE0C0000}"/>
    <cellStyle name="Currency 5 3 2 2 7 2" xfId="6719" xr:uid="{00000000-0005-0000-0000-0000AF0C0000}"/>
    <cellStyle name="Currency 5 3 2 2 7 2 2" xfId="16045" xr:uid="{A379CE7E-A496-4BCC-B297-2772D529CBBB}"/>
    <cellStyle name="Currency 5 3 2 2 7 3" xfId="11828" xr:uid="{ACEA615C-EB64-48C7-8C16-0C37841F7501}"/>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C296B6AA-BCF4-4C20-A2A1-B10AA5ECA2FA}"/>
    <cellStyle name="Currency 5 3 2 2 9 3" xfId="12145" xr:uid="{4C2A6DD0-E459-45DB-9228-83BE35A98A53}"/>
    <cellStyle name="Currency 5 3 2 3" xfId="213" xr:uid="{00000000-0005-0000-0000-0000B30C0000}"/>
    <cellStyle name="Currency 5 3 2 3 10" xfId="9017" xr:uid="{A6213F8D-EE09-4095-B9BE-99C55DEE210F}"/>
    <cellStyle name="Currency 5 3 2 3 10 2" xfId="18341" xr:uid="{F7E3B31F-0D87-499B-A05F-11F3CAADFC67}"/>
    <cellStyle name="Currency 5 3 2 3 11" xfId="9764" xr:uid="{2E8623CE-BFAE-49C1-A86D-E98F31803471}"/>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9299E6A0-EF27-44C8-9EC0-9BA5E57B06DB}"/>
    <cellStyle name="Currency 5 3 2 3 2 2 3" xfId="12323" xr:uid="{A8B4D87F-A4A0-4EA9-A76F-9CB0B3874B5A}"/>
    <cellStyle name="Currency 5 3 2 3 2 3" xfId="5069" xr:uid="{00000000-0005-0000-0000-0000B70C0000}"/>
    <cellStyle name="Currency 5 3 2 3 2 3 2" xfId="14395" xr:uid="{D98EE777-ABEB-44A2-A860-4D97EC991A91}"/>
    <cellStyle name="Currency 5 3 2 3 2 4" xfId="9442" xr:uid="{AE48BD1F-B5DA-4007-BBEE-128FE2FE74D7}"/>
    <cellStyle name="Currency 5 3 2 3 2 4 2" xfId="18757" xr:uid="{7CCD163D-4E69-4335-83BC-38EAF97A2C67}"/>
    <cellStyle name="Currency 5 3 2 3 2 5" xfId="10178" xr:uid="{44B01727-8AF0-432B-A8BB-0D61EE026A0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15E32C21-A629-4581-BDBA-AC75D8813950}"/>
    <cellStyle name="Currency 5 3 2 3 3 2 3" xfId="12736" xr:uid="{40858E1C-03E5-4C12-9661-32E4AE80206D}"/>
    <cellStyle name="Currency 5 3 2 3 3 3" xfId="5482" xr:uid="{00000000-0005-0000-0000-0000BB0C0000}"/>
    <cellStyle name="Currency 5 3 2 3 3 3 2" xfId="14808" xr:uid="{264F94DC-5652-4301-B288-636798CDBD6D}"/>
    <cellStyle name="Currency 5 3 2 3 3 4" xfId="10591" xr:uid="{53D2967E-B5C2-455D-9E2C-668FFFBFE57D}"/>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96E9D930-8E08-4558-9810-B1E2A44F4EE4}"/>
    <cellStyle name="Currency 5 3 2 3 4 2 3" xfId="13149" xr:uid="{6167BAF6-8AD7-4DD4-99B4-7D0EFBC1DD97}"/>
    <cellStyle name="Currency 5 3 2 3 4 3" xfId="5895" xr:uid="{00000000-0005-0000-0000-0000BF0C0000}"/>
    <cellStyle name="Currency 5 3 2 3 4 3 2" xfId="15221" xr:uid="{8458813C-248C-4347-99F0-8D593DEFFD74}"/>
    <cellStyle name="Currency 5 3 2 3 4 4" xfId="11004" xr:uid="{DB139587-2855-4261-80ED-0A110008A37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A719FF98-0430-40F8-819D-6A036B215955}"/>
    <cellStyle name="Currency 5 3 2 3 5 2 3" xfId="13562" xr:uid="{A1C96545-A44D-4069-B427-887EF27C443E}"/>
    <cellStyle name="Currency 5 3 2 3 5 3" xfId="6308" xr:uid="{00000000-0005-0000-0000-0000C30C0000}"/>
    <cellStyle name="Currency 5 3 2 3 5 3 2" xfId="15634" xr:uid="{38BB70D8-E1F0-42DF-A569-0D502795A07D}"/>
    <cellStyle name="Currency 5 3 2 3 5 4" xfId="11417" xr:uid="{37744332-5373-4554-95BA-859934BB63BB}"/>
    <cellStyle name="Currency 5 3 2 3 6" xfId="2437" xr:uid="{00000000-0005-0000-0000-0000C40C0000}"/>
    <cellStyle name="Currency 5 3 2 3 6 2" xfId="6721" xr:uid="{00000000-0005-0000-0000-0000C50C0000}"/>
    <cellStyle name="Currency 5 3 2 3 6 2 2" xfId="16047" xr:uid="{313AA708-A4DC-4E96-B00E-1306D31D6F3B}"/>
    <cellStyle name="Currency 5 3 2 3 6 3" xfId="11830" xr:uid="{06498A32-917E-481E-8D2D-C15C3C8A2DDF}"/>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5FFE91F5-E5AB-4B20-B083-56808FD4387F}"/>
    <cellStyle name="Currency 5 3 2 3 8 3" xfId="12147" xr:uid="{0F75DE1C-4011-44BF-AD51-9DD2273F7F4A}"/>
    <cellStyle name="Currency 5 3 2 3 9" xfId="4655" xr:uid="{00000000-0005-0000-0000-0000C90C0000}"/>
    <cellStyle name="Currency 5 3 2 3 9 2" xfId="13981" xr:uid="{176C2285-B89C-45CB-8E5B-CE33383B9DB9}"/>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4B9A3E1A-C64F-47DB-9817-0298465687DD}"/>
    <cellStyle name="Currency 5 3 2 4 2 3" xfId="12320" xr:uid="{BE9C72B3-B023-4706-975E-D9E34019F6A6}"/>
    <cellStyle name="Currency 5 3 2 4 3" xfId="5066" xr:uid="{00000000-0005-0000-0000-0000CD0C0000}"/>
    <cellStyle name="Currency 5 3 2 4 3 2" xfId="14392" xr:uid="{CF37FA7C-9862-4919-9CDB-AC33F1231575}"/>
    <cellStyle name="Currency 5 3 2 4 4" xfId="9235" xr:uid="{F2FD4117-6EF1-4663-964A-AB5B57E6F469}"/>
    <cellStyle name="Currency 5 3 2 4 4 2" xfId="18550" xr:uid="{19036A6A-6C88-48C2-929B-456DC8F02963}"/>
    <cellStyle name="Currency 5 3 2 4 5" xfId="10175" xr:uid="{4336A1AE-1132-4291-AA7B-FA34C8E7696F}"/>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089443F8-C6AA-4C4B-A1F0-9B27C014C817}"/>
    <cellStyle name="Currency 5 3 2 5 2 3" xfId="12733" xr:uid="{9D3F67C9-AE2F-49B0-B075-D52977897D0F}"/>
    <cellStyle name="Currency 5 3 2 5 3" xfId="5479" xr:uid="{00000000-0005-0000-0000-0000D10C0000}"/>
    <cellStyle name="Currency 5 3 2 5 3 2" xfId="14805" xr:uid="{503BF52C-EC67-4D6E-B545-3422413B2422}"/>
    <cellStyle name="Currency 5 3 2 5 4" xfId="10588" xr:uid="{F23F9B4F-9E65-493F-B9C9-62CF7579CE25}"/>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3B5F2171-9A0A-4468-8295-C164CA4934A5}"/>
    <cellStyle name="Currency 5 3 2 6 2 3" xfId="13146" xr:uid="{B5CC46BB-B94C-4560-AAF2-C6DC5F392114}"/>
    <cellStyle name="Currency 5 3 2 6 3" xfId="5892" xr:uid="{00000000-0005-0000-0000-0000D50C0000}"/>
    <cellStyle name="Currency 5 3 2 6 3 2" xfId="15218" xr:uid="{5A3A028D-573E-4E52-B84B-D8C1A3827F20}"/>
    <cellStyle name="Currency 5 3 2 6 4" xfId="11001" xr:uid="{9120427C-06C8-4CC8-A36B-3F91D808F14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871C8930-119D-42CE-98B9-0EC561DE0055}"/>
    <cellStyle name="Currency 5 3 2 7 2 3" xfId="13559" xr:uid="{735F2F75-846A-4283-869C-8427C3C57461}"/>
    <cellStyle name="Currency 5 3 2 7 3" xfId="6305" xr:uid="{00000000-0005-0000-0000-0000D90C0000}"/>
    <cellStyle name="Currency 5 3 2 7 3 2" xfId="15631" xr:uid="{1D5C35D2-3AEB-4756-8CBF-4B3EE09F8B5E}"/>
    <cellStyle name="Currency 5 3 2 7 4" xfId="11414" xr:uid="{3705A098-BEAA-40D6-B386-3D2BE6B0F59D}"/>
    <cellStyle name="Currency 5 3 2 8" xfId="2434" xr:uid="{00000000-0005-0000-0000-0000DA0C0000}"/>
    <cellStyle name="Currency 5 3 2 8 2" xfId="6718" xr:uid="{00000000-0005-0000-0000-0000DB0C0000}"/>
    <cellStyle name="Currency 5 3 2 8 2 2" xfId="16044" xr:uid="{416A061E-CB61-47DB-8FE1-68B6951F3EB4}"/>
    <cellStyle name="Currency 5 3 2 8 3" xfId="11827" xr:uid="{50E306B9-D027-4C76-987A-D0F3B026A11D}"/>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6580B3C9-8355-49EB-AAFF-DE4D706D32AB}"/>
    <cellStyle name="Currency 5 3 3 11" xfId="8882" xr:uid="{A86B3ED4-B552-42F3-9E77-C6763F86EEE6}"/>
    <cellStyle name="Currency 5 3 3 11 2" xfId="18206" xr:uid="{16FD97A6-8B23-4AAE-84E7-FBD3B7F9B96C}"/>
    <cellStyle name="Currency 5 3 3 12" xfId="9765" xr:uid="{185EB562-80AA-4C23-A75B-15801460CE08}"/>
    <cellStyle name="Currency 5 3 3 2" xfId="215" xr:uid="{00000000-0005-0000-0000-0000DF0C0000}"/>
    <cellStyle name="Currency 5 3 3 2 10" xfId="9089" xr:uid="{7CFB8DCC-02AE-4CC5-8E10-3D33399ECECE}"/>
    <cellStyle name="Currency 5 3 3 2 10 2" xfId="18413" xr:uid="{81F0D175-317D-4B32-B181-B0ACD0B3A8D4}"/>
    <cellStyle name="Currency 5 3 3 2 11" xfId="9766" xr:uid="{9B4EDA4E-DB79-45F2-B47F-EBD6556DC80D}"/>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9C03ADA3-E0DE-4590-A847-3BE6F5939FC6}"/>
    <cellStyle name="Currency 5 3 3 2 2 2 3" xfId="12325" xr:uid="{0961F051-A782-41DA-ABB4-1D5FC1FD366D}"/>
    <cellStyle name="Currency 5 3 3 2 2 3" xfId="5071" xr:uid="{00000000-0005-0000-0000-0000E30C0000}"/>
    <cellStyle name="Currency 5 3 3 2 2 3 2" xfId="14397" xr:uid="{6B84EF35-66FB-41D4-AD62-85F5FB67C637}"/>
    <cellStyle name="Currency 5 3 3 2 2 4" xfId="9514" xr:uid="{9A504F43-6423-4200-B7AF-F17B65B2005C}"/>
    <cellStyle name="Currency 5 3 3 2 2 4 2" xfId="18829" xr:uid="{37A60704-26D2-4383-B2D9-5B91CD29854A}"/>
    <cellStyle name="Currency 5 3 3 2 2 5" xfId="10180" xr:uid="{9F07C593-73D4-47F2-B8AB-D8ED4E6C7708}"/>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7A49111F-742B-43DD-917C-01E717C83852}"/>
    <cellStyle name="Currency 5 3 3 2 3 2 3" xfId="12738" xr:uid="{52CDEFA5-C637-48F2-86FA-C5682CBA0435}"/>
    <cellStyle name="Currency 5 3 3 2 3 3" xfId="5484" xr:uid="{00000000-0005-0000-0000-0000E70C0000}"/>
    <cellStyle name="Currency 5 3 3 2 3 3 2" xfId="14810" xr:uid="{D09F8F3B-2B54-4B88-AB5D-BB4D54DAB4EA}"/>
    <cellStyle name="Currency 5 3 3 2 3 4" xfId="10593" xr:uid="{E0FC2872-0A05-4ED9-B991-72D1DED30347}"/>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BFA61E6D-D9F7-41B7-ABB9-822CAE06FA23}"/>
    <cellStyle name="Currency 5 3 3 2 4 2 3" xfId="13151" xr:uid="{C9500779-25E6-4146-8D40-4783E539E57A}"/>
    <cellStyle name="Currency 5 3 3 2 4 3" xfId="5897" xr:uid="{00000000-0005-0000-0000-0000EB0C0000}"/>
    <cellStyle name="Currency 5 3 3 2 4 3 2" xfId="15223" xr:uid="{46352259-C769-48C7-8DC6-EF2153A56919}"/>
    <cellStyle name="Currency 5 3 3 2 4 4" xfId="11006" xr:uid="{BFE73B0A-9C9B-4A3E-A2F5-0130F95C2968}"/>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8ECC7B36-D0E4-4C3C-A2F1-DE687B17D23B}"/>
    <cellStyle name="Currency 5 3 3 2 5 2 3" xfId="13564" xr:uid="{B372A2CA-6773-457A-9DF2-0C1E33D14F7D}"/>
    <cellStyle name="Currency 5 3 3 2 5 3" xfId="6310" xr:uid="{00000000-0005-0000-0000-0000EF0C0000}"/>
    <cellStyle name="Currency 5 3 3 2 5 3 2" xfId="15636" xr:uid="{8F843976-1D2C-4D7B-A6E4-23C11B3CFB27}"/>
    <cellStyle name="Currency 5 3 3 2 5 4" xfId="11419" xr:uid="{FC149DF0-A7F2-45AA-AE62-23141ECC3B71}"/>
    <cellStyle name="Currency 5 3 3 2 6" xfId="2439" xr:uid="{00000000-0005-0000-0000-0000F00C0000}"/>
    <cellStyle name="Currency 5 3 3 2 6 2" xfId="6723" xr:uid="{00000000-0005-0000-0000-0000F10C0000}"/>
    <cellStyle name="Currency 5 3 3 2 6 2 2" xfId="16049" xr:uid="{15B2E1AD-2C24-48FA-A3D8-671C1156E505}"/>
    <cellStyle name="Currency 5 3 3 2 6 3" xfId="11832" xr:uid="{E12C796A-EE04-4EFF-8436-AEA945BE3E81}"/>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D1F8AFFF-0C59-461C-9D66-8D484F19DE3D}"/>
    <cellStyle name="Currency 5 3 3 2 8 3" xfId="12149" xr:uid="{346736F9-DD0B-43CD-A438-DAC8A755F383}"/>
    <cellStyle name="Currency 5 3 3 2 9" xfId="4657" xr:uid="{00000000-0005-0000-0000-0000F50C0000}"/>
    <cellStyle name="Currency 5 3 3 2 9 2" xfId="13983" xr:uid="{E0EDA650-A4BE-4390-B67B-B491ADDDB01C}"/>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F3F05E63-2300-4698-A9C8-B6C0DC78A413}"/>
    <cellStyle name="Currency 5 3 3 3 2 3" xfId="12324" xr:uid="{16E423FE-852D-4EB1-B0BF-C14E87FBC8C7}"/>
    <cellStyle name="Currency 5 3 3 3 3" xfId="5070" xr:uid="{00000000-0005-0000-0000-0000F90C0000}"/>
    <cellStyle name="Currency 5 3 3 3 3 2" xfId="14396" xr:uid="{B0D1C405-00E0-4794-BE8B-48153F7DF741}"/>
    <cellStyle name="Currency 5 3 3 3 4" xfId="9307" xr:uid="{3F0512A0-B779-46E4-A963-62E327C6AC5F}"/>
    <cellStyle name="Currency 5 3 3 3 4 2" xfId="18622" xr:uid="{DD7B58DC-8913-4E29-9343-769A33CE7791}"/>
    <cellStyle name="Currency 5 3 3 3 5" xfId="10179" xr:uid="{85A162D5-2245-433E-ADF6-EC550D1DC42E}"/>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1A5A8AF0-65FA-44F1-9102-C04246D3D447}"/>
    <cellStyle name="Currency 5 3 3 4 2 3" xfId="12737" xr:uid="{0F3A62B2-2B4B-48F4-B571-9F3E7C0D7A2C}"/>
    <cellStyle name="Currency 5 3 3 4 3" xfId="5483" xr:uid="{00000000-0005-0000-0000-0000FD0C0000}"/>
    <cellStyle name="Currency 5 3 3 4 3 2" xfId="14809" xr:uid="{A546C23C-50D4-45F5-9A8C-2D8665164836}"/>
    <cellStyle name="Currency 5 3 3 4 4" xfId="10592" xr:uid="{AC840225-6FB5-4D38-AD72-5E81473E5B0B}"/>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12FB4F1B-0BC8-4979-8E33-B78577EA0B89}"/>
    <cellStyle name="Currency 5 3 3 5 2 3" xfId="13150" xr:uid="{F1C8ED3E-FC1F-4849-A34D-922CE997FCF8}"/>
    <cellStyle name="Currency 5 3 3 5 3" xfId="5896" xr:uid="{00000000-0005-0000-0000-0000010D0000}"/>
    <cellStyle name="Currency 5 3 3 5 3 2" xfId="15222" xr:uid="{4206FF4C-E1F9-43A6-B747-24BD62831A57}"/>
    <cellStyle name="Currency 5 3 3 5 4" xfId="11005" xr:uid="{60F99FCB-FB62-4220-B2AB-237994158BCD}"/>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26DA62B0-C426-46FB-971C-0BF8E034EEEF}"/>
    <cellStyle name="Currency 5 3 3 6 2 3" xfId="13563" xr:uid="{5CB01D39-6E80-434E-AD2A-6087D796580C}"/>
    <cellStyle name="Currency 5 3 3 6 3" xfId="6309" xr:uid="{00000000-0005-0000-0000-0000050D0000}"/>
    <cellStyle name="Currency 5 3 3 6 3 2" xfId="15635" xr:uid="{EDFFE851-D192-4453-A86E-C61EFF593CCE}"/>
    <cellStyle name="Currency 5 3 3 6 4" xfId="11418" xr:uid="{CF59CE64-F586-4B17-9403-A45282B87FFE}"/>
    <cellStyle name="Currency 5 3 3 7" xfId="2438" xr:uid="{00000000-0005-0000-0000-0000060D0000}"/>
    <cellStyle name="Currency 5 3 3 7 2" xfId="6722" xr:uid="{00000000-0005-0000-0000-0000070D0000}"/>
    <cellStyle name="Currency 5 3 3 7 2 2" xfId="16048" xr:uid="{498A2D3F-1425-4B34-AB50-9967957ECE17}"/>
    <cellStyle name="Currency 5 3 3 7 3" xfId="11831" xr:uid="{AA3139D2-AF48-4AB2-BAC7-17DBFD6B74A2}"/>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B029A91E-7138-46CF-9A5D-55455CD8391A}"/>
    <cellStyle name="Currency 5 3 3 9 3" xfId="12148" xr:uid="{AD66400B-97ED-4E0D-9CC8-ACCBF6D1BD35}"/>
    <cellStyle name="Currency 5 3 4" xfId="216" xr:uid="{00000000-0005-0000-0000-00000B0D0000}"/>
    <cellStyle name="Currency 5 3 4 10" xfId="8986" xr:uid="{4F6CFA4A-F10A-4043-AD92-C0A3F7F06459}"/>
    <cellStyle name="Currency 5 3 4 10 2" xfId="18310" xr:uid="{08195367-B28B-4828-AD62-2F2588036C74}"/>
    <cellStyle name="Currency 5 3 4 11" xfId="9767" xr:uid="{EEA38413-D617-40D4-A238-12698180DDA2}"/>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0244B9B3-77B5-4D75-B50C-9BA05D3706CB}"/>
    <cellStyle name="Currency 5 3 4 2 2 3" xfId="12326" xr:uid="{FADFC739-AD40-49A7-86ED-9DAD4811A183}"/>
    <cellStyle name="Currency 5 3 4 2 3" xfId="5072" xr:uid="{00000000-0005-0000-0000-00000F0D0000}"/>
    <cellStyle name="Currency 5 3 4 2 3 2" xfId="14398" xr:uid="{62744964-D97B-4F8D-B8BB-1CB1E0A638B6}"/>
    <cellStyle name="Currency 5 3 4 2 4" xfId="9411" xr:uid="{2729DEB6-408B-463E-B468-91D932C31FD7}"/>
    <cellStyle name="Currency 5 3 4 2 4 2" xfId="18726" xr:uid="{D7055609-A71F-4CAD-B467-427B870E64D4}"/>
    <cellStyle name="Currency 5 3 4 2 5" xfId="10181" xr:uid="{9F520B45-3F06-43CB-8AD8-08C0F72B85B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3F1C4FEF-869F-446A-85BE-68D8E0F8B366}"/>
    <cellStyle name="Currency 5 3 4 3 2 3" xfId="12739" xr:uid="{5BB070E0-B49B-4FA4-817C-276A200DA0CE}"/>
    <cellStyle name="Currency 5 3 4 3 3" xfId="5485" xr:uid="{00000000-0005-0000-0000-0000130D0000}"/>
    <cellStyle name="Currency 5 3 4 3 3 2" xfId="14811" xr:uid="{B99DF880-C31B-4422-A372-9FCF3E643D08}"/>
    <cellStyle name="Currency 5 3 4 3 4" xfId="10594" xr:uid="{14E558BF-9893-43A8-8E8E-E469E86F1A0A}"/>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DE73DBE0-419D-4C44-A876-2B2FC2A1C564}"/>
    <cellStyle name="Currency 5 3 4 4 2 3" xfId="13152" xr:uid="{EACFA344-E20D-4C1D-86B5-A28BA1E3A66D}"/>
    <cellStyle name="Currency 5 3 4 4 3" xfId="5898" xr:uid="{00000000-0005-0000-0000-0000170D0000}"/>
    <cellStyle name="Currency 5 3 4 4 3 2" xfId="15224" xr:uid="{5A558DF3-4C54-4D36-BFD2-7A256DE8343C}"/>
    <cellStyle name="Currency 5 3 4 4 4" xfId="11007" xr:uid="{E347ECA7-DF29-436C-868F-21A6DE244285}"/>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07D0E6AC-D42E-4627-8D55-736BA491528C}"/>
    <cellStyle name="Currency 5 3 4 5 2 3" xfId="13565" xr:uid="{E1754C9E-441F-464E-B47F-598063F29085}"/>
    <cellStyle name="Currency 5 3 4 5 3" xfId="6311" xr:uid="{00000000-0005-0000-0000-00001B0D0000}"/>
    <cellStyle name="Currency 5 3 4 5 3 2" xfId="15637" xr:uid="{A57F47AF-5F52-4E10-B07F-CC9EFA3F727F}"/>
    <cellStyle name="Currency 5 3 4 5 4" xfId="11420" xr:uid="{CAAC0918-0FC3-4391-AFDF-5127C5C9BB85}"/>
    <cellStyle name="Currency 5 3 4 6" xfId="2440" xr:uid="{00000000-0005-0000-0000-00001C0D0000}"/>
    <cellStyle name="Currency 5 3 4 6 2" xfId="6724" xr:uid="{00000000-0005-0000-0000-00001D0D0000}"/>
    <cellStyle name="Currency 5 3 4 6 2 2" xfId="16050" xr:uid="{F5A9EF75-5BE8-4713-94DB-EB6E164EB4E1}"/>
    <cellStyle name="Currency 5 3 4 6 3" xfId="11833" xr:uid="{39831E89-E349-4A37-BBA8-ADEEAC6FD0D4}"/>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0EFEC8A9-86BA-462C-B286-E2300A12F8DD}"/>
    <cellStyle name="Currency 5 3 4 8 3" xfId="12150" xr:uid="{EF255877-6AC8-4380-AE99-C59BFA0598F9}"/>
    <cellStyle name="Currency 5 3 4 9" xfId="4658" xr:uid="{00000000-0005-0000-0000-0000210D0000}"/>
    <cellStyle name="Currency 5 3 4 9 2" xfId="13984" xr:uid="{EBDAC361-631A-4237-9776-E0739ED6F35D}"/>
    <cellStyle name="Currency 5 3 5" xfId="217" xr:uid="{00000000-0005-0000-0000-0000220D0000}"/>
    <cellStyle name="Currency 5 3 5 10" xfId="9203" xr:uid="{6167CBBD-227C-4457-B6B6-18EF5C089771}"/>
    <cellStyle name="Currency 5 3 5 10 2" xfId="18519" xr:uid="{F142DE62-6FC9-4E68-B67B-A06F44569481}"/>
    <cellStyle name="Currency 5 3 5 11" xfId="9768" xr:uid="{64534F98-CB8D-483E-B65C-07C92A1B6AE4}"/>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6C3B493F-62AD-4355-A070-463819063496}"/>
    <cellStyle name="Currency 5 3 5 2 2 3" xfId="12327" xr:uid="{37F74B1E-9AE7-4013-9B05-D167029A6BAB}"/>
    <cellStyle name="Currency 5 3 5 2 3" xfId="5073" xr:uid="{00000000-0005-0000-0000-0000260D0000}"/>
    <cellStyle name="Currency 5 3 5 2 3 2" xfId="14399" xr:uid="{24E10EF9-465F-433D-B75B-9CD997F5068C}"/>
    <cellStyle name="Currency 5 3 5 2 4" xfId="9600" xr:uid="{650A4058-48FE-4F3E-8845-8F52DF332026}"/>
    <cellStyle name="Currency 5 3 5 2 4 2" xfId="18904" xr:uid="{58C5C39F-D602-4929-A12A-87A4577F5D1F}"/>
    <cellStyle name="Currency 5 3 5 2 5" xfId="10182" xr:uid="{997631CA-EE52-4BDE-865E-7361CA81DEAE}"/>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65CB4C9F-9B63-4C25-84F1-B2B55BBC8446}"/>
    <cellStyle name="Currency 5 3 5 3 2 3" xfId="12740" xr:uid="{E2B54FA7-D663-432C-A3F9-696D71ED4ABD}"/>
    <cellStyle name="Currency 5 3 5 3 3" xfId="5486" xr:uid="{00000000-0005-0000-0000-00002A0D0000}"/>
    <cellStyle name="Currency 5 3 5 3 3 2" xfId="14812" xr:uid="{983F0ED0-F39C-44B4-B21B-2B0E829DA5AC}"/>
    <cellStyle name="Currency 5 3 5 3 4" xfId="10595" xr:uid="{6FEAAB8B-4D09-41F7-975E-B132FD2FFEF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3B1F048F-E40F-44F1-A9D9-D33F75412E5D}"/>
    <cellStyle name="Currency 5 3 5 4 2 3" xfId="13153" xr:uid="{4961CDD8-6900-42EB-9711-A894602C5C17}"/>
    <cellStyle name="Currency 5 3 5 4 3" xfId="5899" xr:uid="{00000000-0005-0000-0000-00002E0D0000}"/>
    <cellStyle name="Currency 5 3 5 4 3 2" xfId="15225" xr:uid="{1BAE16EF-D9E1-4A21-BB38-FD485DD8C8F7}"/>
    <cellStyle name="Currency 5 3 5 4 4" xfId="11008" xr:uid="{54F5CB46-6439-46FC-ADD5-AB0BA7C2F16D}"/>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BAB753EF-1332-4BEB-A379-312667B6C435}"/>
    <cellStyle name="Currency 5 3 5 5 2 3" xfId="13566" xr:uid="{11F4A7F3-DE6C-49AF-93B0-449F8720A4F4}"/>
    <cellStyle name="Currency 5 3 5 5 3" xfId="6312" xr:uid="{00000000-0005-0000-0000-0000320D0000}"/>
    <cellStyle name="Currency 5 3 5 5 3 2" xfId="15638" xr:uid="{5B393AEE-C2DD-4F58-B648-275C29B216E5}"/>
    <cellStyle name="Currency 5 3 5 5 4" xfId="11421" xr:uid="{BBF78540-B17A-43EF-BF99-E56BB297920B}"/>
    <cellStyle name="Currency 5 3 5 6" xfId="2441" xr:uid="{00000000-0005-0000-0000-0000330D0000}"/>
    <cellStyle name="Currency 5 3 5 6 2" xfId="6725" xr:uid="{00000000-0005-0000-0000-0000340D0000}"/>
    <cellStyle name="Currency 5 3 5 6 2 2" xfId="16051" xr:uid="{5AF22D56-AA1F-4C5E-9F8D-BD57C615B3D1}"/>
    <cellStyle name="Currency 5 3 5 6 3" xfId="11834" xr:uid="{AF443CDE-5C5A-4451-A8C8-6F107C5F0B9C}"/>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BDBA9FE2-8255-4E34-A96B-EC36FF9D6B35}"/>
    <cellStyle name="Currency 5 3 5 8 3" xfId="12151" xr:uid="{1866AC98-791D-4BD5-9C12-322571F74F3E}"/>
    <cellStyle name="Currency 5 3 5 9" xfId="4659" xr:uid="{00000000-0005-0000-0000-0000380D0000}"/>
    <cellStyle name="Currency 5 3 5 9 2" xfId="13985" xr:uid="{D3A21458-457F-486C-A3F8-B9710FBC5883}"/>
    <cellStyle name="Currency 5 3 6" xfId="9585" xr:uid="{F259418A-5AC0-4C4E-A98C-07B5BEE6D673}"/>
    <cellStyle name="Currency 5 3 7" xfId="8779" xr:uid="{856D4C12-E347-4E8F-9200-2EC71AC3E0CB}"/>
    <cellStyle name="Currency 5 3 7 2" xfId="18103" xr:uid="{B4989BBC-9EEB-492E-A5E6-97485A5CB726}"/>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D79B991B-0325-41DE-8A8A-2A9F6B24395B}"/>
    <cellStyle name="Currency 5 5 11" xfId="8850" xr:uid="{8F129173-F323-478F-8B06-1E2599EB26C1}"/>
    <cellStyle name="Currency 5 5 11 2" xfId="18174" xr:uid="{783A9C02-3065-4C58-AD4F-C539BFED9484}"/>
    <cellStyle name="Currency 5 5 12" xfId="9769" xr:uid="{B3CD96A5-82AD-4DC8-A1A5-89219DD37160}"/>
    <cellStyle name="Currency 5 5 2" xfId="220" xr:uid="{00000000-0005-0000-0000-00003D0D0000}"/>
    <cellStyle name="Currency 5 5 2 10" xfId="9057" xr:uid="{90E61E49-0971-4EC1-90D8-E015846E4FB2}"/>
    <cellStyle name="Currency 5 5 2 10 2" xfId="18381" xr:uid="{E91B7589-504A-4A92-BD61-B717C00E0570}"/>
    <cellStyle name="Currency 5 5 2 11" xfId="9770" xr:uid="{F7986552-9460-4B12-9EA5-9D703EE41290}"/>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3C937F5F-C000-4D29-8B97-CF00E0A3CC79}"/>
    <cellStyle name="Currency 5 5 2 2 2 3" xfId="12329" xr:uid="{C5E9D0B5-037C-4293-91D0-A38792DD56FD}"/>
    <cellStyle name="Currency 5 5 2 2 3" xfId="5075" xr:uid="{00000000-0005-0000-0000-0000410D0000}"/>
    <cellStyle name="Currency 5 5 2 2 3 2" xfId="14401" xr:uid="{B47AE3EE-BDEC-4B3D-B587-20F4C1FEEA01}"/>
    <cellStyle name="Currency 5 5 2 2 4" xfId="9482" xr:uid="{ECEE3E7C-42CD-4A2D-A90F-D54FFBA7E41F}"/>
    <cellStyle name="Currency 5 5 2 2 4 2" xfId="18797" xr:uid="{E3FCF145-7D2B-44A8-A5EE-3C854F12A500}"/>
    <cellStyle name="Currency 5 5 2 2 5" xfId="10184" xr:uid="{D11FFBEA-70AC-43AC-B4DD-4BD5BBB1331E}"/>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644641F4-9DF0-4CFF-81A7-7DFE2F72C4DF}"/>
    <cellStyle name="Currency 5 5 2 3 2 3" xfId="12742" xr:uid="{391EA3DF-56E5-496A-91E9-6386669A3007}"/>
    <cellStyle name="Currency 5 5 2 3 3" xfId="5488" xr:uid="{00000000-0005-0000-0000-0000450D0000}"/>
    <cellStyle name="Currency 5 5 2 3 3 2" xfId="14814" xr:uid="{7201D0CA-B32D-4585-BF72-5D509A2D8D4C}"/>
    <cellStyle name="Currency 5 5 2 3 4" xfId="10597" xr:uid="{A74A2C37-118A-4BD2-9825-DD0F79BF721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07C9304F-CB90-4F75-8ACC-6930D5636046}"/>
    <cellStyle name="Currency 5 5 2 4 2 3" xfId="13155" xr:uid="{AF4E6BFD-370E-4AC6-A262-68E962C0F112}"/>
    <cellStyle name="Currency 5 5 2 4 3" xfId="5901" xr:uid="{00000000-0005-0000-0000-0000490D0000}"/>
    <cellStyle name="Currency 5 5 2 4 3 2" xfId="15227" xr:uid="{3F82687E-B05B-4C7C-8D93-953CAEBEA03D}"/>
    <cellStyle name="Currency 5 5 2 4 4" xfId="11010" xr:uid="{635F0BFD-4CF7-4383-B01E-CAC44E9039D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45DEF260-04E0-4667-BBA0-8BE475D49763}"/>
    <cellStyle name="Currency 5 5 2 5 2 3" xfId="13568" xr:uid="{C235541F-C91C-41A2-8596-32E4CFCB95C9}"/>
    <cellStyle name="Currency 5 5 2 5 3" xfId="6314" xr:uid="{00000000-0005-0000-0000-00004D0D0000}"/>
    <cellStyle name="Currency 5 5 2 5 3 2" xfId="15640" xr:uid="{CDD66729-8607-4D17-8F42-EAE84DB56BA7}"/>
    <cellStyle name="Currency 5 5 2 5 4" xfId="11423" xr:uid="{47A25D08-FAC3-4B2D-94BD-4363D199A7AF}"/>
    <cellStyle name="Currency 5 5 2 6" xfId="2443" xr:uid="{00000000-0005-0000-0000-00004E0D0000}"/>
    <cellStyle name="Currency 5 5 2 6 2" xfId="6727" xr:uid="{00000000-0005-0000-0000-00004F0D0000}"/>
    <cellStyle name="Currency 5 5 2 6 2 2" xfId="16053" xr:uid="{F4A84292-712D-4F16-8D48-57E7C86560E6}"/>
    <cellStyle name="Currency 5 5 2 6 3" xfId="11836" xr:uid="{ED88A95C-2F29-40CF-B186-F20C0F258A8B}"/>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4BE4221E-852E-41FC-9852-B457CF617C5A}"/>
    <cellStyle name="Currency 5 5 2 8 3" xfId="12153" xr:uid="{81465374-993E-4D6B-937C-AA7C72E6AFCF}"/>
    <cellStyle name="Currency 5 5 2 9" xfId="4661" xr:uid="{00000000-0005-0000-0000-0000530D0000}"/>
    <cellStyle name="Currency 5 5 2 9 2" xfId="13987" xr:uid="{0511DD86-9EF9-4618-A3E5-9438A7DAB753}"/>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8F2F383D-21B9-42D4-ADC8-037821D78705}"/>
    <cellStyle name="Currency 5 5 3 2 3" xfId="12328" xr:uid="{A7E455B1-840E-490E-9350-4EDF25D1C5B8}"/>
    <cellStyle name="Currency 5 5 3 3" xfId="5074" xr:uid="{00000000-0005-0000-0000-0000570D0000}"/>
    <cellStyle name="Currency 5 5 3 3 2" xfId="14400" xr:uid="{2AE85441-E9D5-43F4-8FEB-0AE3D06DBD5C}"/>
    <cellStyle name="Currency 5 5 3 4" xfId="9275" xr:uid="{54783F20-34E5-4A58-80AE-EC7CC69A89C9}"/>
    <cellStyle name="Currency 5 5 3 4 2" xfId="18590" xr:uid="{C6F860C0-EF2C-467F-9DF5-376B90335676}"/>
    <cellStyle name="Currency 5 5 3 5" xfId="10183" xr:uid="{2770DA2F-434F-4E3F-98E6-1189B7D1AF82}"/>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6FAF275F-CA3F-4862-8779-2A9B573A5E2E}"/>
    <cellStyle name="Currency 5 5 4 2 3" xfId="12741" xr:uid="{C05C1360-B0F5-43C5-BC5C-24079A8E1E5B}"/>
    <cellStyle name="Currency 5 5 4 3" xfId="5487" xr:uid="{00000000-0005-0000-0000-00005B0D0000}"/>
    <cellStyle name="Currency 5 5 4 3 2" xfId="14813" xr:uid="{DC7D42EF-5C55-4676-8701-51C3782E8941}"/>
    <cellStyle name="Currency 5 5 4 4" xfId="10596" xr:uid="{5ADD34E1-F312-4CFB-8248-E29D5FE086FB}"/>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D3692C0C-FD01-4412-9FDF-A2D851391477}"/>
    <cellStyle name="Currency 5 5 5 2 3" xfId="13154" xr:uid="{4F332324-078B-4210-B8F1-BEFFB27F8355}"/>
    <cellStyle name="Currency 5 5 5 3" xfId="5900" xr:uid="{00000000-0005-0000-0000-00005F0D0000}"/>
    <cellStyle name="Currency 5 5 5 3 2" xfId="15226" xr:uid="{902604BA-F435-4A8C-877C-216ED2BE0A5B}"/>
    <cellStyle name="Currency 5 5 5 4" xfId="11009" xr:uid="{3AE09C4A-C022-44D0-A75A-5E2E95D81C71}"/>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2B56192D-90F5-4838-9802-FFFDF66A7B5D}"/>
    <cellStyle name="Currency 5 5 6 2 3" xfId="13567" xr:uid="{ABEE3836-DC88-478A-B1BE-596C2597B1F1}"/>
    <cellStyle name="Currency 5 5 6 3" xfId="6313" xr:uid="{00000000-0005-0000-0000-0000630D0000}"/>
    <cellStyle name="Currency 5 5 6 3 2" xfId="15639" xr:uid="{BC102C6C-0FD9-4C55-B0BB-32635338544C}"/>
    <cellStyle name="Currency 5 5 6 4" xfId="11422" xr:uid="{69C2F6E5-4401-4971-8DB1-258F3A24BF8F}"/>
    <cellStyle name="Currency 5 5 7" xfId="2442" xr:uid="{00000000-0005-0000-0000-0000640D0000}"/>
    <cellStyle name="Currency 5 5 7 2" xfId="6726" xr:uid="{00000000-0005-0000-0000-0000650D0000}"/>
    <cellStyle name="Currency 5 5 7 2 2" xfId="16052" xr:uid="{ABCEB3EA-5AB1-4353-98E2-D75BBA718D0E}"/>
    <cellStyle name="Currency 5 5 7 3" xfId="11835" xr:uid="{A450873F-E2F3-408D-BA4C-3E01C34E7A0F}"/>
    <cellStyle name="Currency 5 5 8" xfId="2739" xr:uid="{00000000-0005-0000-0000-0000660D0000}"/>
    <cellStyle name="Currency 5 5 9" xfId="2820" xr:uid="{00000000-0005-0000-0000-0000670D0000}"/>
    <cellStyle name="Currency 5 5 9 2" xfId="7043" xr:uid="{00000000-0005-0000-0000-0000680D0000}"/>
    <cellStyle name="Currency 5 5 9 2 2" xfId="16369" xr:uid="{A231A462-4155-4722-9419-39FE12C3EF7B}"/>
    <cellStyle name="Currency 5 5 9 3" xfId="12152" xr:uid="{5A866100-1349-41AD-BA58-72AA65FA8C0A}"/>
    <cellStyle name="Currency 5 6" xfId="221" xr:uid="{00000000-0005-0000-0000-0000690D0000}"/>
    <cellStyle name="Currency 5 6 10" xfId="8966" xr:uid="{EC95BD1E-EAA8-4043-BDA7-06F3BBDBC3D5}"/>
    <cellStyle name="Currency 5 6 10 2" xfId="18290" xr:uid="{E4F67F72-4E53-404F-BA69-2DB9055A5C1B}"/>
    <cellStyle name="Currency 5 6 11" xfId="9771" xr:uid="{506B045F-24AE-46CF-84EB-2786BC739D3A}"/>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48E09281-E28F-4AB0-9EE1-795326C7E533}"/>
    <cellStyle name="Currency 5 6 2 2 3" xfId="12330" xr:uid="{CC683AD1-5D29-4D9B-98A8-2F135ABF5B72}"/>
    <cellStyle name="Currency 5 6 2 3" xfId="5076" xr:uid="{00000000-0005-0000-0000-00006D0D0000}"/>
    <cellStyle name="Currency 5 6 2 3 2" xfId="14402" xr:uid="{0AE705D6-BD82-4C78-8F5C-1FBF033E497F}"/>
    <cellStyle name="Currency 5 6 2 4" xfId="9391" xr:uid="{8CBF3F74-51EC-4402-B96A-0759E6537FC7}"/>
    <cellStyle name="Currency 5 6 2 4 2" xfId="18706" xr:uid="{6049BADA-0BA9-42E3-99F3-3E630EA6EFA0}"/>
    <cellStyle name="Currency 5 6 2 5" xfId="10185" xr:uid="{CB681B11-7E23-4354-84B2-89525A828224}"/>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F083A856-5E93-4A1A-AF3F-9B0990F742C0}"/>
    <cellStyle name="Currency 5 6 3 2 3" xfId="12743" xr:uid="{905D429C-8C21-4ABD-85E5-26D7A1EC5F84}"/>
    <cellStyle name="Currency 5 6 3 3" xfId="5489" xr:uid="{00000000-0005-0000-0000-0000710D0000}"/>
    <cellStyle name="Currency 5 6 3 3 2" xfId="14815" xr:uid="{6749DE8E-CB09-47F2-B527-69C5E7390F3A}"/>
    <cellStyle name="Currency 5 6 3 4" xfId="10598" xr:uid="{A917B6BB-E5AC-4365-9A8C-0B86D0743641}"/>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2CA5DECA-6BAA-499D-A02A-4BBBD87094A2}"/>
    <cellStyle name="Currency 5 6 4 2 3" xfId="13156" xr:uid="{6E5F1A5F-EF73-416C-9177-24AF7C0A9D6D}"/>
    <cellStyle name="Currency 5 6 4 3" xfId="5902" xr:uid="{00000000-0005-0000-0000-0000750D0000}"/>
    <cellStyle name="Currency 5 6 4 3 2" xfId="15228" xr:uid="{0D93186A-8AD8-48A3-AA5A-72A51AB5BF0F}"/>
    <cellStyle name="Currency 5 6 4 4" xfId="11011" xr:uid="{C6FF4795-E76D-4F22-92DA-DF8C9CB73B66}"/>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7D0A1C9B-61F7-4A3E-A5E9-A5D12CF1D90E}"/>
    <cellStyle name="Currency 5 6 5 2 3" xfId="13569" xr:uid="{AA0C2768-817C-4281-9CA9-48D31EDD9FB5}"/>
    <cellStyle name="Currency 5 6 5 3" xfId="6315" xr:uid="{00000000-0005-0000-0000-0000790D0000}"/>
    <cellStyle name="Currency 5 6 5 3 2" xfId="15641" xr:uid="{2B27128D-FD59-41C2-9178-F99D7814468D}"/>
    <cellStyle name="Currency 5 6 5 4" xfId="11424" xr:uid="{067268AC-B73B-48EC-8BE4-BCBEF2009207}"/>
    <cellStyle name="Currency 5 6 6" xfId="2444" xr:uid="{00000000-0005-0000-0000-00007A0D0000}"/>
    <cellStyle name="Currency 5 6 6 2" xfId="6728" xr:uid="{00000000-0005-0000-0000-00007B0D0000}"/>
    <cellStyle name="Currency 5 6 6 2 2" xfId="16054" xr:uid="{0FEA7DEB-124E-47B5-AD52-9B68438E78F8}"/>
    <cellStyle name="Currency 5 6 6 3" xfId="11837" xr:uid="{5749E242-18E8-4E8D-993F-157FBD3E719B}"/>
    <cellStyle name="Currency 5 6 7" xfId="2741" xr:uid="{00000000-0005-0000-0000-00007C0D0000}"/>
    <cellStyle name="Currency 5 6 8" xfId="2822" xr:uid="{00000000-0005-0000-0000-00007D0D0000}"/>
    <cellStyle name="Currency 5 6 8 2" xfId="7045" xr:uid="{00000000-0005-0000-0000-00007E0D0000}"/>
    <cellStyle name="Currency 5 6 8 2 2" xfId="16371" xr:uid="{730978C8-7669-4C03-8672-532463476467}"/>
    <cellStyle name="Currency 5 6 8 3" xfId="12154" xr:uid="{77A00E07-EA1C-483C-B370-7D2C329BBDF1}"/>
    <cellStyle name="Currency 5 6 9" xfId="4662" xr:uid="{00000000-0005-0000-0000-00007F0D0000}"/>
    <cellStyle name="Currency 5 6 9 2" xfId="13988" xr:uid="{E68DE68F-0419-4A7B-85D4-160E13397EE4}"/>
    <cellStyle name="Currency 5 7" xfId="222" xr:uid="{00000000-0005-0000-0000-0000800D0000}"/>
    <cellStyle name="Currency 5 7 10" xfId="9169" xr:uid="{7A886DE7-136A-429E-90E2-A7C712D111D8}"/>
    <cellStyle name="Currency 5 7 10 2" xfId="18487" xr:uid="{136882F8-F877-4BEF-8F02-0FE19D32A301}"/>
    <cellStyle name="Currency 5 7 11" xfId="9772" xr:uid="{BAB03AB7-EE3A-4422-8B8F-78A32855760D}"/>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9B8CFFDA-89C0-4043-93D2-309A655C6F0A}"/>
    <cellStyle name="Currency 5 7 2 2 3" xfId="12331" xr:uid="{95C90DA2-3546-4D21-9FA7-6B76A323CACD}"/>
    <cellStyle name="Currency 5 7 2 3" xfId="5077" xr:uid="{00000000-0005-0000-0000-0000840D0000}"/>
    <cellStyle name="Currency 5 7 2 3 2" xfId="14403" xr:uid="{F553F6FA-8BFA-483B-AD11-D0808AC22F3E}"/>
    <cellStyle name="Currency 5 7 2 4" xfId="9601" xr:uid="{DC93A830-0AF1-4EC4-B764-C728922F3FEF}"/>
    <cellStyle name="Currency 5 7 2 4 2" xfId="18905" xr:uid="{41D8C62B-8815-4B16-930A-402B4C54BC56}"/>
    <cellStyle name="Currency 5 7 2 5" xfId="10186" xr:uid="{9E6119B1-BDAC-4C3A-943A-6A004667FF32}"/>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D384D104-9F8F-4FA0-9152-B45C093E972C}"/>
    <cellStyle name="Currency 5 7 3 2 3" xfId="12744" xr:uid="{4058FD30-21F9-444D-82D1-CF8B4D8397CF}"/>
    <cellStyle name="Currency 5 7 3 3" xfId="5490" xr:uid="{00000000-0005-0000-0000-0000880D0000}"/>
    <cellStyle name="Currency 5 7 3 3 2" xfId="14816" xr:uid="{76153051-03DA-41EB-BC08-A57D9947E7ED}"/>
    <cellStyle name="Currency 5 7 3 4" xfId="10599" xr:uid="{B63AF044-6550-411E-A758-1BE3F024FC88}"/>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07A1254E-004C-4826-B12E-B949DC863066}"/>
    <cellStyle name="Currency 5 7 4 2 3" xfId="13157" xr:uid="{C84D9B9A-D9D2-419E-A48A-5E9A643ACFB3}"/>
    <cellStyle name="Currency 5 7 4 3" xfId="5903" xr:uid="{00000000-0005-0000-0000-00008C0D0000}"/>
    <cellStyle name="Currency 5 7 4 3 2" xfId="15229" xr:uid="{2AD526A0-B46E-4CC1-A47C-59FBA200B2C1}"/>
    <cellStyle name="Currency 5 7 4 4" xfId="11012" xr:uid="{E6D01357-993F-4D5D-B562-2A5BA1E514E0}"/>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D6C80331-D11F-4C20-9770-BC91E139B2E3}"/>
    <cellStyle name="Currency 5 7 5 2 3" xfId="13570" xr:uid="{DB6B3FDB-91A3-43F4-831F-C0EE879B4903}"/>
    <cellStyle name="Currency 5 7 5 3" xfId="6316" xr:uid="{00000000-0005-0000-0000-0000900D0000}"/>
    <cellStyle name="Currency 5 7 5 3 2" xfId="15642" xr:uid="{4203C063-A5FF-4D52-AC89-8EAEB2EB752C}"/>
    <cellStyle name="Currency 5 7 5 4" xfId="11425" xr:uid="{758E8310-3F40-4B80-8FD4-80CE572C1B28}"/>
    <cellStyle name="Currency 5 7 6" xfId="2445" xr:uid="{00000000-0005-0000-0000-0000910D0000}"/>
    <cellStyle name="Currency 5 7 6 2" xfId="6729" xr:uid="{00000000-0005-0000-0000-0000920D0000}"/>
    <cellStyle name="Currency 5 7 6 2 2" xfId="16055" xr:uid="{86789050-B234-442C-8516-50FBBE0980CD}"/>
    <cellStyle name="Currency 5 7 6 3" xfId="11838" xr:uid="{B2ED34BF-8050-4D94-BCE8-480A3A07EEDA}"/>
    <cellStyle name="Currency 5 7 7" xfId="2742" xr:uid="{00000000-0005-0000-0000-0000930D0000}"/>
    <cellStyle name="Currency 5 7 8" xfId="2823" xr:uid="{00000000-0005-0000-0000-0000940D0000}"/>
    <cellStyle name="Currency 5 7 8 2" xfId="7046" xr:uid="{00000000-0005-0000-0000-0000950D0000}"/>
    <cellStyle name="Currency 5 7 8 2 2" xfId="16372" xr:uid="{798868BD-26B7-448B-A70B-D7D9A50E441D}"/>
    <cellStyle name="Currency 5 7 8 3" xfId="12155" xr:uid="{96C16E70-5F42-4EFA-BA6B-02671A571F05}"/>
    <cellStyle name="Currency 5 7 9" xfId="4663" xr:uid="{00000000-0005-0000-0000-0000960D0000}"/>
    <cellStyle name="Currency 5 7 9 2" xfId="13989" xr:uid="{6A2504F5-B290-4654-BDBC-7A7AE338B1A5}"/>
    <cellStyle name="Currency 5 8" xfId="721" xr:uid="{00000000-0005-0000-0000-0000970D0000}"/>
    <cellStyle name="Currency 5 9" xfId="8747" xr:uid="{CCFF1C6E-BA46-44B7-A8DD-B170160D04FF}"/>
    <cellStyle name="Currency 5 9 2" xfId="18071" xr:uid="{E6DFE03A-47DB-44E6-8A20-8EDADDE9BD5E}"/>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D2AF0F17-230F-41CD-AF1C-95A33DAFF57C}"/>
    <cellStyle name="Normal 12 10 3" xfId="11839" xr:uid="{F88A1D62-217D-413B-971E-15BEC3E9508A}"/>
    <cellStyle name="Normal 12 11" xfId="4664" xr:uid="{00000000-0005-0000-0000-0000CC0D0000}"/>
    <cellStyle name="Normal 12 11 2" xfId="13990" xr:uid="{25D51B10-9332-4DA8-81FD-CDACDF278B97}"/>
    <cellStyle name="Normal 12 12" xfId="8770" xr:uid="{16E7F001-A88D-4413-825E-78352A31064A}"/>
    <cellStyle name="Normal 12 12 2" xfId="18094" xr:uid="{0B6B163D-664B-480D-840C-3570049CA5D5}"/>
    <cellStyle name="Normal 12 13" xfId="9773" xr:uid="{41CDD37F-ED0B-4AB8-BD1C-B5F97DB3CB36}"/>
    <cellStyle name="Normal 12 2" xfId="260" xr:uid="{00000000-0005-0000-0000-0000CD0D0000}"/>
    <cellStyle name="Normal 12 2 10" xfId="8811" xr:uid="{C610EFA7-DF28-475D-A7AA-61B6675A083B}"/>
    <cellStyle name="Normal 12 2 10 2" xfId="18135" xr:uid="{125207AA-0987-44AE-B610-2CB951DDAA3D}"/>
    <cellStyle name="Normal 12 2 11" xfId="9774" xr:uid="{F3C8CBDF-87A4-45CF-9C5B-7DDCF49141A6}"/>
    <cellStyle name="Normal 12 2 2" xfId="261" xr:uid="{00000000-0005-0000-0000-0000CE0D0000}"/>
    <cellStyle name="Normal 12 2 2 10" xfId="9775" xr:uid="{80ACD0C0-82CD-4A9D-9A61-177B753ECB04}"/>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433E49A8-61F3-4BC1-9750-94AE5451F8B0}"/>
    <cellStyle name="Normal 12 2 2 2 2 2 3" xfId="12335" xr:uid="{94507AF5-D655-4257-B049-8CD3F8FE8D66}"/>
    <cellStyle name="Normal 12 2 2 2 2 3" xfId="5081" xr:uid="{00000000-0005-0000-0000-0000D30D0000}"/>
    <cellStyle name="Normal 12 2 2 2 2 3 2" xfId="14407" xr:uid="{2754FBA2-60CD-4129-BD2D-18EB5805EBFF}"/>
    <cellStyle name="Normal 12 2 2 2 2 4" xfId="9546" xr:uid="{609DE280-4DA3-4355-9F1C-9E01708347EA}"/>
    <cellStyle name="Normal 12 2 2 2 2 4 2" xfId="18861" xr:uid="{06CDED31-B32F-4863-994A-9B0C88E50FB1}"/>
    <cellStyle name="Normal 12 2 2 2 2 5" xfId="10190" xr:uid="{9FB8B67F-D430-4018-A231-F4B1A07A5623}"/>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94288D3B-F213-4C14-9C0C-8FE49BAC8A03}"/>
    <cellStyle name="Normal 12 2 2 2 3 2 3" xfId="12748" xr:uid="{02E99FA8-DC1C-4C2D-B51F-ACF64F8437E4}"/>
    <cellStyle name="Normal 12 2 2 2 3 3" xfId="5494" xr:uid="{00000000-0005-0000-0000-0000D70D0000}"/>
    <cellStyle name="Normal 12 2 2 2 3 3 2" xfId="14820" xr:uid="{B44658C0-1E0E-45DA-BA98-6CC650AC85AB}"/>
    <cellStyle name="Normal 12 2 2 2 3 4" xfId="10603" xr:uid="{BFC491D4-25AE-4D5E-B2C9-5B97CFF6ABEA}"/>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FAE90E18-F242-4669-A709-20B08AAA8072}"/>
    <cellStyle name="Normal 12 2 2 2 4 2 3" xfId="13161" xr:uid="{26C7F436-91BB-4C7D-9823-16A95BC4515B}"/>
    <cellStyle name="Normal 12 2 2 2 4 3" xfId="5907" xr:uid="{00000000-0005-0000-0000-0000DB0D0000}"/>
    <cellStyle name="Normal 12 2 2 2 4 3 2" xfId="15233" xr:uid="{D87C0E81-83C7-4813-BBAA-3107203F5F14}"/>
    <cellStyle name="Normal 12 2 2 2 4 4" xfId="11016" xr:uid="{FBDE93DE-B065-431B-99B4-CAE6D3870409}"/>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FB13A1D9-9799-4F53-B636-014561A23DC6}"/>
    <cellStyle name="Normal 12 2 2 2 5 2 3" xfId="13574" xr:uid="{B7891296-CD9C-42FB-B1FE-FAA37054E772}"/>
    <cellStyle name="Normal 12 2 2 2 5 3" xfId="6320" xr:uid="{00000000-0005-0000-0000-0000DF0D0000}"/>
    <cellStyle name="Normal 12 2 2 2 5 3 2" xfId="15646" xr:uid="{B4B169D7-30AF-4147-ACE9-BC1A9FB0190D}"/>
    <cellStyle name="Normal 12 2 2 2 5 4" xfId="11429" xr:uid="{4B2E525A-ECF3-4980-AC9C-251B655B0653}"/>
    <cellStyle name="Normal 12 2 2 2 6" xfId="2450" xr:uid="{00000000-0005-0000-0000-0000E00D0000}"/>
    <cellStyle name="Normal 12 2 2 2 6 2" xfId="6733" xr:uid="{00000000-0005-0000-0000-0000E10D0000}"/>
    <cellStyle name="Normal 12 2 2 2 6 2 2" xfId="16059" xr:uid="{8A420F00-2C1A-42F9-A73E-527CE8C0B83F}"/>
    <cellStyle name="Normal 12 2 2 2 6 3" xfId="11842" xr:uid="{A669FC3E-CAB3-40F9-82A6-1F55A9E2DD96}"/>
    <cellStyle name="Normal 12 2 2 2 7" xfId="4667" xr:uid="{00000000-0005-0000-0000-0000E20D0000}"/>
    <cellStyle name="Normal 12 2 2 2 7 2" xfId="13993" xr:uid="{8EE70A29-7515-4E03-A34C-7AF1DA1A91F6}"/>
    <cellStyle name="Normal 12 2 2 2 8" xfId="9121" xr:uid="{527C15BB-BE4D-46AB-9317-CC8E6838C91D}"/>
    <cellStyle name="Normal 12 2 2 2 8 2" xfId="18445" xr:uid="{75B0C6E7-3102-49CA-9F61-1A6CEB32B86E}"/>
    <cellStyle name="Normal 12 2 2 2 9" xfId="9776" xr:uid="{E54D4F5E-8B27-4709-890C-7E87A8EBDFCD}"/>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F99FFB01-C9FD-4D32-B0E4-5E2A008AB38E}"/>
    <cellStyle name="Normal 12 2 2 3 2 3" xfId="12334" xr:uid="{538FDA9D-2C68-4FDA-8791-79291B612DE0}"/>
    <cellStyle name="Normal 12 2 2 3 3" xfId="5080" xr:uid="{00000000-0005-0000-0000-0000E60D0000}"/>
    <cellStyle name="Normal 12 2 2 3 3 2" xfId="14406" xr:uid="{950CAC12-A21B-4185-A98E-0419240FD5C9}"/>
    <cellStyle name="Normal 12 2 2 3 4" xfId="9339" xr:uid="{F3F800C1-92DF-4F1F-A561-C3F3C7F8BAD1}"/>
    <cellStyle name="Normal 12 2 2 3 4 2" xfId="18654" xr:uid="{E71E098E-598B-4AE3-BAFB-D4787D10DAF8}"/>
    <cellStyle name="Normal 12 2 2 3 5" xfId="10189" xr:uid="{5ECAD4BC-A465-47C7-A718-4255CAAE9822}"/>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2CDD3871-9BB5-4099-9C77-FE70B48A03BF}"/>
    <cellStyle name="Normal 12 2 2 4 2 3" xfId="12747" xr:uid="{62969ED4-D6CC-42B0-B45C-ABAF703D52A5}"/>
    <cellStyle name="Normal 12 2 2 4 3" xfId="5493" xr:uid="{00000000-0005-0000-0000-0000EA0D0000}"/>
    <cellStyle name="Normal 12 2 2 4 3 2" xfId="14819" xr:uid="{847BFB60-3C37-46F2-8907-3CCB7527D57A}"/>
    <cellStyle name="Normal 12 2 2 4 4" xfId="10602" xr:uid="{3285FFC0-1178-493E-A66E-448561A83E73}"/>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4220792E-2F25-4594-B538-C00F42D179AE}"/>
    <cellStyle name="Normal 12 2 2 5 2 3" xfId="13160" xr:uid="{DACEA1E1-C8CF-4133-99FF-1F4F9716E567}"/>
    <cellStyle name="Normal 12 2 2 5 3" xfId="5906" xr:uid="{00000000-0005-0000-0000-0000EE0D0000}"/>
    <cellStyle name="Normal 12 2 2 5 3 2" xfId="15232" xr:uid="{2B37B78A-2A8F-4CAE-B0B5-C7D31BBBA1A8}"/>
    <cellStyle name="Normal 12 2 2 5 4" xfId="11015" xr:uid="{B28BA375-2240-4534-BA10-71A99907DEC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F4785BBB-AF0F-40CC-A547-B08818A35AB4}"/>
    <cellStyle name="Normal 12 2 2 6 2 3" xfId="13573" xr:uid="{3027935B-A78E-4683-8221-F854535FFF8C}"/>
    <cellStyle name="Normal 12 2 2 6 3" xfId="6319" xr:uid="{00000000-0005-0000-0000-0000F20D0000}"/>
    <cellStyle name="Normal 12 2 2 6 3 2" xfId="15645" xr:uid="{4ABFD0BF-002D-42F8-A306-37BE1290A0A0}"/>
    <cellStyle name="Normal 12 2 2 6 4" xfId="11428" xr:uid="{4077FDD4-C5FB-42B1-AB87-A6F033D0832C}"/>
    <cellStyle name="Normal 12 2 2 7" xfId="2449" xr:uid="{00000000-0005-0000-0000-0000F30D0000}"/>
    <cellStyle name="Normal 12 2 2 7 2" xfId="6732" xr:uid="{00000000-0005-0000-0000-0000F40D0000}"/>
    <cellStyle name="Normal 12 2 2 7 2 2" xfId="16058" xr:uid="{E8ACC3F1-EEE1-41D9-ABC3-D528BA1E146F}"/>
    <cellStyle name="Normal 12 2 2 7 3" xfId="11841" xr:uid="{19B189BD-9411-4A70-9342-613299862BFB}"/>
    <cellStyle name="Normal 12 2 2 8" xfId="4666" xr:uid="{00000000-0005-0000-0000-0000F50D0000}"/>
    <cellStyle name="Normal 12 2 2 8 2" xfId="13992" xr:uid="{90CFE017-6D6C-46FA-A2D5-A41EFCD6F08F}"/>
    <cellStyle name="Normal 12 2 2 9" xfId="8914" xr:uid="{85903DBC-FA0A-4A9D-9FB4-BA36A4B6F510}"/>
    <cellStyle name="Normal 12 2 2 9 2" xfId="18238" xr:uid="{DCF8B662-FA1E-41A8-B6AB-BFFC15F85EC1}"/>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C8A2DE6B-6B49-4817-A4F9-1DA5747C1817}"/>
    <cellStyle name="Normal 12 2 3 2 2 3" xfId="12336" xr:uid="{9BB594B0-CE80-47B1-926C-41592E53DF51}"/>
    <cellStyle name="Normal 12 2 3 2 3" xfId="5082" xr:uid="{00000000-0005-0000-0000-0000FA0D0000}"/>
    <cellStyle name="Normal 12 2 3 2 3 2" xfId="14408" xr:uid="{8B0964E5-708F-4C15-90FC-3335F0B5FF0D}"/>
    <cellStyle name="Normal 12 2 3 2 4" xfId="9443" xr:uid="{61F0A971-1285-4215-8170-49D07520551A}"/>
    <cellStyle name="Normal 12 2 3 2 4 2" xfId="18758" xr:uid="{B5CAC34E-805C-45A2-90E6-A53B75657A73}"/>
    <cellStyle name="Normal 12 2 3 2 5" xfId="10191" xr:uid="{89DBDB93-895D-4D68-9469-AEDAC2D624AD}"/>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37991C9D-A487-4976-9704-612D7E96E40E}"/>
    <cellStyle name="Normal 12 2 3 3 2 3" xfId="12749" xr:uid="{DDF58BA6-C245-4F4C-B38F-612986442FAB}"/>
    <cellStyle name="Normal 12 2 3 3 3" xfId="5495" xr:uid="{00000000-0005-0000-0000-0000FE0D0000}"/>
    <cellStyle name="Normal 12 2 3 3 3 2" xfId="14821" xr:uid="{0A2A814D-1D55-47AE-BF2F-38B1A941CD3C}"/>
    <cellStyle name="Normal 12 2 3 3 4" xfId="10604" xr:uid="{82B373A7-4F90-4234-9C16-E6C719B5D63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B4934071-4686-429B-BA4B-C50F32085834}"/>
    <cellStyle name="Normal 12 2 3 4 2 3" xfId="13162" xr:uid="{57265BC0-BF32-4395-A29A-931FC67D9698}"/>
    <cellStyle name="Normal 12 2 3 4 3" xfId="5908" xr:uid="{00000000-0005-0000-0000-0000020E0000}"/>
    <cellStyle name="Normal 12 2 3 4 3 2" xfId="15234" xr:uid="{52129B82-91CA-4F33-8F3C-E9EF54467C6A}"/>
    <cellStyle name="Normal 12 2 3 4 4" xfId="11017" xr:uid="{63474644-D5CB-4ED0-85F9-D356964B6A17}"/>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734E49A1-B80F-41BB-9207-42FE9A6B35A7}"/>
    <cellStyle name="Normal 12 2 3 5 2 3" xfId="13575" xr:uid="{3BCD6C6D-77BC-4232-AB95-849822620208}"/>
    <cellStyle name="Normal 12 2 3 5 3" xfId="6321" xr:uid="{00000000-0005-0000-0000-0000060E0000}"/>
    <cellStyle name="Normal 12 2 3 5 3 2" xfId="15647" xr:uid="{D63756E0-F216-4D08-ADBC-D3EC45E3A7EF}"/>
    <cellStyle name="Normal 12 2 3 5 4" xfId="11430" xr:uid="{E1A0B2EB-DB75-4E6A-8C4D-30C837C63D02}"/>
    <cellStyle name="Normal 12 2 3 6" xfId="2451" xr:uid="{00000000-0005-0000-0000-0000070E0000}"/>
    <cellStyle name="Normal 12 2 3 6 2" xfId="6734" xr:uid="{00000000-0005-0000-0000-0000080E0000}"/>
    <cellStyle name="Normal 12 2 3 6 2 2" xfId="16060" xr:uid="{3373B05E-43A4-4480-802B-D3149C3AAB34}"/>
    <cellStyle name="Normal 12 2 3 6 3" xfId="11843" xr:uid="{8B20621D-E4E9-487F-9942-68EEDF056194}"/>
    <cellStyle name="Normal 12 2 3 7" xfId="4668" xr:uid="{00000000-0005-0000-0000-0000090E0000}"/>
    <cellStyle name="Normal 12 2 3 7 2" xfId="13994" xr:uid="{4EA714A9-E578-40AE-BEA9-B2DE4F558DC6}"/>
    <cellStyle name="Normal 12 2 3 8" xfId="9018" xr:uid="{C3F41DC6-3A80-4145-A68D-169ABB54B6D0}"/>
    <cellStyle name="Normal 12 2 3 8 2" xfId="18342" xr:uid="{588BCC0A-EB88-4583-854D-F5309E533078}"/>
    <cellStyle name="Normal 12 2 3 9" xfId="9777" xr:uid="{3AA71043-82D5-432F-BDB6-0D0DB34FED5C}"/>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4552C71B-4DF5-4B75-B9D6-E688A9933AA4}"/>
    <cellStyle name="Normal 12 2 4 2 3" xfId="12333" xr:uid="{0D1384C0-B186-4B15-A3E2-0CAB3AA6DD0E}"/>
    <cellStyle name="Normal 12 2 4 3" xfId="5079" xr:uid="{00000000-0005-0000-0000-00000D0E0000}"/>
    <cellStyle name="Normal 12 2 4 3 2" xfId="14405" xr:uid="{86EA5729-48BF-462D-8C1C-224498F50AF3}"/>
    <cellStyle name="Normal 12 2 4 4" xfId="9236" xr:uid="{C3D0196D-4BB3-4870-9762-A3CF40E5B45B}"/>
    <cellStyle name="Normal 12 2 4 4 2" xfId="18551" xr:uid="{0A341965-850B-45E9-BB36-FD297B0BC46B}"/>
    <cellStyle name="Normal 12 2 4 5" xfId="10188" xr:uid="{32951EFF-579E-41D6-AFEA-382CA714D4DC}"/>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B7B887FC-FDE5-46E5-BF34-B2C7DB2C1370}"/>
    <cellStyle name="Normal 12 2 5 2 3" xfId="12746" xr:uid="{7C09BF04-BDAC-4F57-968E-49611021EAD0}"/>
    <cellStyle name="Normal 12 2 5 3" xfId="5492" xr:uid="{00000000-0005-0000-0000-0000110E0000}"/>
    <cellStyle name="Normal 12 2 5 3 2" xfId="14818" xr:uid="{32B63268-226C-483C-93E4-086A18447F06}"/>
    <cellStyle name="Normal 12 2 5 4" xfId="10601" xr:uid="{DAFD4F97-D9C0-40FE-83D4-2A2016599F40}"/>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9D71E74D-31F9-4558-9C21-E057BC7EEAE3}"/>
    <cellStyle name="Normal 12 2 6 2 3" xfId="13159" xr:uid="{3D68E903-63AB-4ABF-BDAB-02205A39AE8F}"/>
    <cellStyle name="Normal 12 2 6 3" xfId="5905" xr:uid="{00000000-0005-0000-0000-0000150E0000}"/>
    <cellStyle name="Normal 12 2 6 3 2" xfId="15231" xr:uid="{D778F24E-17C6-4DED-AD96-9090EFFF766C}"/>
    <cellStyle name="Normal 12 2 6 4" xfId="11014" xr:uid="{43ADA03B-0377-425C-B20E-01F02A1A4676}"/>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8AB665D3-DE76-464E-8A02-A6BFC0DF3A41}"/>
    <cellStyle name="Normal 12 2 7 2 3" xfId="13572" xr:uid="{3129446E-C9F0-4653-AC75-ED9B6356019E}"/>
    <cellStyle name="Normal 12 2 7 3" xfId="6318" xr:uid="{00000000-0005-0000-0000-0000190E0000}"/>
    <cellStyle name="Normal 12 2 7 3 2" xfId="15644" xr:uid="{D0064D56-9360-44CF-8BE4-483437D16DC6}"/>
    <cellStyle name="Normal 12 2 7 4" xfId="11427" xr:uid="{CD63A8EB-EAB3-44B6-906C-8A66DA0AE790}"/>
    <cellStyle name="Normal 12 2 8" xfId="2448" xr:uid="{00000000-0005-0000-0000-00001A0E0000}"/>
    <cellStyle name="Normal 12 2 8 2" xfId="6731" xr:uid="{00000000-0005-0000-0000-00001B0E0000}"/>
    <cellStyle name="Normal 12 2 8 2 2" xfId="16057" xr:uid="{2BF1C52B-8E4C-4326-A8F8-AD2BDB3DB7AF}"/>
    <cellStyle name="Normal 12 2 8 3" xfId="11840" xr:uid="{50BCE49C-7F28-4DE5-A730-C973914205CE}"/>
    <cellStyle name="Normal 12 2 9" xfId="4665" xr:uid="{00000000-0005-0000-0000-00001C0E0000}"/>
    <cellStyle name="Normal 12 2 9 2" xfId="13991" xr:uid="{C8C00DFC-769A-40A5-B1C8-F83EADE708EF}"/>
    <cellStyle name="Normal 12 3" xfId="264" xr:uid="{00000000-0005-0000-0000-00001D0E0000}"/>
    <cellStyle name="Normal 12 3 10" xfId="9778" xr:uid="{E2287C14-C363-4BD1-A54B-24213F08D01C}"/>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92009574-EB3F-4ED6-B824-7AD0CFAEA6D1}"/>
    <cellStyle name="Normal 12 3 2 2 2 3" xfId="12338" xr:uid="{B49E9ECC-3DDD-46E8-BEED-1FA5E5CA69B7}"/>
    <cellStyle name="Normal 12 3 2 2 3" xfId="5084" xr:uid="{00000000-0005-0000-0000-0000220E0000}"/>
    <cellStyle name="Normal 12 3 2 2 3 2" xfId="14410" xr:uid="{B92F495F-98E7-4548-92D6-99ABAE66D0E5}"/>
    <cellStyle name="Normal 12 3 2 2 4" xfId="9505" xr:uid="{B127619B-367D-40AD-851E-01DDBB2DCD13}"/>
    <cellStyle name="Normal 12 3 2 2 4 2" xfId="18820" xr:uid="{65A08032-8790-46AF-BCF2-ED27EFA819EC}"/>
    <cellStyle name="Normal 12 3 2 2 5" xfId="10193" xr:uid="{729B3D4F-AC4D-4A9D-939C-F34812BDA2AE}"/>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10F8347D-515C-4855-B8EF-5B3391B8AE6A}"/>
    <cellStyle name="Normal 12 3 2 3 2 3" xfId="12751" xr:uid="{08A8C1BB-9507-46C8-B969-8DFEBF71D9A9}"/>
    <cellStyle name="Normal 12 3 2 3 3" xfId="5497" xr:uid="{00000000-0005-0000-0000-0000260E0000}"/>
    <cellStyle name="Normal 12 3 2 3 3 2" xfId="14823" xr:uid="{00E7986D-6207-40D7-A55D-DF889F1AD145}"/>
    <cellStyle name="Normal 12 3 2 3 4" xfId="10606" xr:uid="{A9FB9912-E189-43CD-88AA-16E009C5E7C6}"/>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B6DF821B-405B-4A4B-B3F0-565FC06D1D4C}"/>
    <cellStyle name="Normal 12 3 2 4 2 3" xfId="13164" xr:uid="{BB278545-7A6D-46CE-A204-A756D9842FB0}"/>
    <cellStyle name="Normal 12 3 2 4 3" xfId="5910" xr:uid="{00000000-0005-0000-0000-00002A0E0000}"/>
    <cellStyle name="Normal 12 3 2 4 3 2" xfId="15236" xr:uid="{6EA5148B-C305-4C5C-BEB8-6FE325D9627F}"/>
    <cellStyle name="Normal 12 3 2 4 4" xfId="11019" xr:uid="{BF49E1C3-0B4F-4990-916F-4E225DD5C1C5}"/>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72D54DEB-21E0-49A5-AEB9-6EB9929FE15C}"/>
    <cellStyle name="Normal 12 3 2 5 2 3" xfId="13577" xr:uid="{B1B82722-EE22-4687-8CA2-4AE1A06F0557}"/>
    <cellStyle name="Normal 12 3 2 5 3" xfId="6323" xr:uid="{00000000-0005-0000-0000-00002E0E0000}"/>
    <cellStyle name="Normal 12 3 2 5 3 2" xfId="15649" xr:uid="{B3D7833A-68C6-4D13-92D6-661A4CA58AD4}"/>
    <cellStyle name="Normal 12 3 2 5 4" xfId="11432" xr:uid="{71A525A8-9BA5-4A75-A903-BEE3494C7165}"/>
    <cellStyle name="Normal 12 3 2 6" xfId="2453" xr:uid="{00000000-0005-0000-0000-00002F0E0000}"/>
    <cellStyle name="Normal 12 3 2 6 2" xfId="6736" xr:uid="{00000000-0005-0000-0000-0000300E0000}"/>
    <cellStyle name="Normal 12 3 2 6 2 2" xfId="16062" xr:uid="{4A1B8324-AF23-466D-B63A-48EC53B28D07}"/>
    <cellStyle name="Normal 12 3 2 6 3" xfId="11845" xr:uid="{C0494336-A339-49EA-B416-E3761CD3BFA9}"/>
    <cellStyle name="Normal 12 3 2 7" xfId="4670" xr:uid="{00000000-0005-0000-0000-0000310E0000}"/>
    <cellStyle name="Normal 12 3 2 7 2" xfId="13996" xr:uid="{245EEB41-289A-4220-A905-6F0F61C88EBD}"/>
    <cellStyle name="Normal 12 3 2 8" xfId="9080" xr:uid="{403F3083-4A9F-4295-B676-C31241B8936E}"/>
    <cellStyle name="Normal 12 3 2 8 2" xfId="18404" xr:uid="{2ABA6CD6-0F18-46B6-AAAC-20040C80ECB3}"/>
    <cellStyle name="Normal 12 3 2 9" xfId="9779" xr:uid="{CC054ECD-5D21-4FFF-8AB7-702436C6B996}"/>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95374CA6-A0B0-47AC-9279-03231AFB9F3F}"/>
    <cellStyle name="Normal 12 3 3 2 3" xfId="12337" xr:uid="{DC78B089-83D3-4CEE-AD5C-53BCF1304935}"/>
    <cellStyle name="Normal 12 3 3 3" xfId="5083" xr:uid="{00000000-0005-0000-0000-0000350E0000}"/>
    <cellStyle name="Normal 12 3 3 3 2" xfId="14409" xr:uid="{B77BAA2A-09EA-41D8-B79C-A5D86C647F4A}"/>
    <cellStyle name="Normal 12 3 3 4" xfId="9298" xr:uid="{A6F9D711-F86A-406D-B160-91678C261745}"/>
    <cellStyle name="Normal 12 3 3 4 2" xfId="18613" xr:uid="{7F8B47E7-BE68-4FE8-A554-D854014B0306}"/>
    <cellStyle name="Normal 12 3 3 5" xfId="10192" xr:uid="{D23D0B53-BC31-438D-A0F2-949A6BA2C4C9}"/>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94326FD8-E19B-4738-BFD0-18EDC10862A9}"/>
    <cellStyle name="Normal 12 3 4 2 3" xfId="12750" xr:uid="{697F5D71-EF08-4CBE-B72B-7962713104B4}"/>
    <cellStyle name="Normal 12 3 4 3" xfId="5496" xr:uid="{00000000-0005-0000-0000-0000390E0000}"/>
    <cellStyle name="Normal 12 3 4 3 2" xfId="14822" xr:uid="{CFE542A1-2CCD-4FDD-81EF-19FBF38F2D89}"/>
    <cellStyle name="Normal 12 3 4 4" xfId="10605" xr:uid="{568CF4E5-B98D-4C95-B657-827ACCDB30DC}"/>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DCCDA783-2202-44A4-961E-603AD1A70EB5}"/>
    <cellStyle name="Normal 12 3 5 2 3" xfId="13163" xr:uid="{B4DCC24D-31AA-4B62-96D9-876559B57A42}"/>
    <cellStyle name="Normal 12 3 5 3" xfId="5909" xr:uid="{00000000-0005-0000-0000-00003D0E0000}"/>
    <cellStyle name="Normal 12 3 5 3 2" xfId="15235" xr:uid="{9326B64D-B55F-4C83-8B4C-8F80E2BBB6C7}"/>
    <cellStyle name="Normal 12 3 5 4" xfId="11018" xr:uid="{0BE70CA5-B346-41BC-B634-03ED074BE8A9}"/>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38CB5CCC-813E-45A8-B5D3-CD6780119E8B}"/>
    <cellStyle name="Normal 12 3 6 2 3" xfId="13576" xr:uid="{0646EDAE-6E18-4647-83AE-DBC72E73DCD4}"/>
    <cellStyle name="Normal 12 3 6 3" xfId="6322" xr:uid="{00000000-0005-0000-0000-0000410E0000}"/>
    <cellStyle name="Normal 12 3 6 3 2" xfId="15648" xr:uid="{C56E3259-B703-424F-8AC9-BA977741869A}"/>
    <cellStyle name="Normal 12 3 6 4" xfId="11431" xr:uid="{C2B73799-8538-4405-A9F5-851031E454B2}"/>
    <cellStyle name="Normal 12 3 7" xfId="2452" xr:uid="{00000000-0005-0000-0000-0000420E0000}"/>
    <cellStyle name="Normal 12 3 7 2" xfId="6735" xr:uid="{00000000-0005-0000-0000-0000430E0000}"/>
    <cellStyle name="Normal 12 3 7 2 2" xfId="16061" xr:uid="{438F2B0B-7C8D-4406-AAAE-565BD7E3FF12}"/>
    <cellStyle name="Normal 12 3 7 3" xfId="11844" xr:uid="{C952B3BF-8ECD-44E3-9F01-090D190D2709}"/>
    <cellStyle name="Normal 12 3 8" xfId="4669" xr:uid="{00000000-0005-0000-0000-0000440E0000}"/>
    <cellStyle name="Normal 12 3 8 2" xfId="13995" xr:uid="{5229BBB8-2621-4167-B33F-2D36D0AA146D}"/>
    <cellStyle name="Normal 12 3 9" xfId="8873" xr:uid="{72AE7E6C-F254-4BFC-80A7-F73848FA4F21}"/>
    <cellStyle name="Normal 12 3 9 2" xfId="18197" xr:uid="{9B2692F3-5F92-41D4-A5C3-AAE0CBB01195}"/>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C68890D4-184E-4C5A-AEE1-B97415DD3C21}"/>
    <cellStyle name="Normal 12 4 2 2 3" xfId="12339" xr:uid="{8D0235A5-8565-4BB6-9820-C622197E523B}"/>
    <cellStyle name="Normal 12 4 2 3" xfId="5085" xr:uid="{00000000-0005-0000-0000-0000490E0000}"/>
    <cellStyle name="Normal 12 4 2 3 2" xfId="14411" xr:uid="{D5CD20AA-8E3A-410C-ACD4-D1D47CBD55E7}"/>
    <cellStyle name="Normal 12 4 2 4" xfId="9402" xr:uid="{F40C9AB7-F4D0-4A65-BBAA-FF5409160FE5}"/>
    <cellStyle name="Normal 12 4 2 4 2" xfId="18717" xr:uid="{2AEF75F3-575B-4B16-A5A5-3399EF4C75ED}"/>
    <cellStyle name="Normal 12 4 2 5" xfId="10194" xr:uid="{C4A8EE24-795B-4AB6-88F4-0FA72E4C2031}"/>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E008EBDC-D0F2-4991-B90C-FA5BBF1480F1}"/>
    <cellStyle name="Normal 12 4 3 2 3" xfId="12752" xr:uid="{BC25330C-C026-4230-A3D1-2031212F7B84}"/>
    <cellStyle name="Normal 12 4 3 3" xfId="5498" xr:uid="{00000000-0005-0000-0000-00004D0E0000}"/>
    <cellStyle name="Normal 12 4 3 3 2" xfId="14824" xr:uid="{4C30205C-1CAF-4F13-924C-6DE064B2A265}"/>
    <cellStyle name="Normal 12 4 3 4" xfId="10607" xr:uid="{5F26B1A2-DEA0-417A-AA0F-D2CA922CA604}"/>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7883653A-F65B-4235-A985-3E62E0A69779}"/>
    <cellStyle name="Normal 12 4 4 2 3" xfId="13165" xr:uid="{A029B31B-F137-4BB8-BB2B-B82B5024F53D}"/>
    <cellStyle name="Normal 12 4 4 3" xfId="5911" xr:uid="{00000000-0005-0000-0000-0000510E0000}"/>
    <cellStyle name="Normal 12 4 4 3 2" xfId="15237" xr:uid="{A7186118-FA60-45AF-9543-AAD923FDF6B6}"/>
    <cellStyle name="Normal 12 4 4 4" xfId="11020" xr:uid="{74195E13-29C9-476E-B201-126C0C510E48}"/>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5C12EEC2-0D1C-419F-902D-304E09DCDA37}"/>
    <cellStyle name="Normal 12 4 5 2 3" xfId="13578" xr:uid="{CC1B257B-231C-4E62-B2DF-A63DC5551448}"/>
    <cellStyle name="Normal 12 4 5 3" xfId="6324" xr:uid="{00000000-0005-0000-0000-0000550E0000}"/>
    <cellStyle name="Normal 12 4 5 3 2" xfId="15650" xr:uid="{24FF6CE0-5D81-480A-B38E-70960A4590AE}"/>
    <cellStyle name="Normal 12 4 5 4" xfId="11433" xr:uid="{C6085956-0B3C-4B58-B524-05CB7B5EB9BE}"/>
    <cellStyle name="Normal 12 4 6" xfId="2454" xr:uid="{00000000-0005-0000-0000-0000560E0000}"/>
    <cellStyle name="Normal 12 4 6 2" xfId="6737" xr:uid="{00000000-0005-0000-0000-0000570E0000}"/>
    <cellStyle name="Normal 12 4 6 2 2" xfId="16063" xr:uid="{C0799596-6F21-4F29-8FA0-FFC5E0271607}"/>
    <cellStyle name="Normal 12 4 6 3" xfId="11846" xr:uid="{CA0F8ABB-7E50-4B3D-8184-14A5986CEF18}"/>
    <cellStyle name="Normal 12 4 7" xfId="4671" xr:uid="{00000000-0005-0000-0000-0000580E0000}"/>
    <cellStyle name="Normal 12 4 7 2" xfId="13997" xr:uid="{5FB57FC0-AF83-4424-A34A-A5945D3C70AA}"/>
    <cellStyle name="Normal 12 4 8" xfId="8977" xr:uid="{5BFFE5F3-99F6-4DA1-A3EF-BF749B3B7ACB}"/>
    <cellStyle name="Normal 12 4 8 2" xfId="18301" xr:uid="{7299379D-2C65-46E7-994D-D5EF701560B2}"/>
    <cellStyle name="Normal 12 4 9" xfId="9780" xr:uid="{09A9950E-7FC8-416F-8C56-3E609EF54AAA}"/>
    <cellStyle name="Normal 12 5" xfId="267" xr:uid="{00000000-0005-0000-0000-0000590E0000}"/>
    <cellStyle name="Normal 12 5 2" xfId="9579" xr:uid="{43940F87-8803-4E34-B3E0-736FAF89CA32}"/>
    <cellStyle name="Normal 12 5 2 2" xfId="18894" xr:uid="{6FE2D5AF-4C10-4335-AF50-F2D3F985E0FE}"/>
    <cellStyle name="Normal 12 5 3" xfId="9586" xr:uid="{72B01073-C2DA-4DF8-9E0D-6932F6AF67FF}"/>
    <cellStyle name="Normal 12 5 4" xfId="9156" xr:uid="{4BCB05AE-5738-4A10-9D4D-B3A4CD16FD2C}"/>
    <cellStyle name="Normal 12 5 4 2" xfId="18478" xr:uid="{54271697-FD9A-4454-A11B-4A941F3C5F5B}"/>
    <cellStyle name="Normal 12 6" xfId="760" xr:uid="{00000000-0005-0000-0000-00005A0E0000}"/>
    <cellStyle name="Normal 12 6 2" xfId="3001" xr:uid="{00000000-0005-0000-0000-00005B0E0000}"/>
    <cellStyle name="Normal 12 6 2 2" xfId="7223" xr:uid="{00000000-0005-0000-0000-00005C0E0000}"/>
    <cellStyle name="Normal 12 6 2 2 2" xfId="16549" xr:uid="{191D7034-7575-4D6C-A72D-4993EEA06AA9}"/>
    <cellStyle name="Normal 12 6 2 3" xfId="12332" xr:uid="{0E95CAE6-2EB9-4985-998B-7C62BD6FABDD}"/>
    <cellStyle name="Normal 12 6 3" xfId="5078" xr:uid="{00000000-0005-0000-0000-00005D0E0000}"/>
    <cellStyle name="Normal 12 6 3 2" xfId="14404" xr:uid="{523379AD-E23B-42B7-8316-062EAF26AE62}"/>
    <cellStyle name="Normal 12 6 4" xfId="9194" xr:uid="{92D32932-3865-4F6F-A551-9A99EC116A43}"/>
    <cellStyle name="Normal 12 6 4 2" xfId="18510" xr:uid="{73FAAE6B-618F-48A7-AABA-5D098631EF73}"/>
    <cellStyle name="Normal 12 6 5" xfId="10187" xr:uid="{072CACED-E0AB-42C7-9638-A3F46E2E45EC}"/>
    <cellStyle name="Normal 12 7" xfId="1183" xr:uid="{00000000-0005-0000-0000-00005E0E0000}"/>
    <cellStyle name="Normal 12 7 2" xfId="3414" xr:uid="{00000000-0005-0000-0000-00005F0E0000}"/>
    <cellStyle name="Normal 12 7 2 2" xfId="7636" xr:uid="{00000000-0005-0000-0000-0000600E0000}"/>
    <cellStyle name="Normal 12 7 2 2 2" xfId="16962" xr:uid="{6BD919DF-6331-4C10-A284-93B89C3E3892}"/>
    <cellStyle name="Normal 12 7 2 3" xfId="12745" xr:uid="{EB837321-1633-42B9-80C6-181CF3AC265E}"/>
    <cellStyle name="Normal 12 7 3" xfId="5491" xr:uid="{00000000-0005-0000-0000-0000610E0000}"/>
    <cellStyle name="Normal 12 7 3 2" xfId="14817" xr:uid="{A7E16640-95A0-42A4-B9B7-A6D2174EC168}"/>
    <cellStyle name="Normal 12 7 4" xfId="10600" xr:uid="{C55049B0-C4B1-4C2B-8BFF-37E83CE4FC82}"/>
    <cellStyle name="Normal 12 8" xfId="1597" xr:uid="{00000000-0005-0000-0000-0000620E0000}"/>
    <cellStyle name="Normal 12 8 2" xfId="3827" xr:uid="{00000000-0005-0000-0000-0000630E0000}"/>
    <cellStyle name="Normal 12 8 2 2" xfId="8049" xr:uid="{00000000-0005-0000-0000-0000640E0000}"/>
    <cellStyle name="Normal 12 8 2 2 2" xfId="17375" xr:uid="{E50FE3AB-6817-427D-A02D-6CF1A55310BF}"/>
    <cellStyle name="Normal 12 8 2 3" xfId="13158" xr:uid="{9C3D23C6-3E2F-4251-99CF-FADD1CCDBAA1}"/>
    <cellStyle name="Normal 12 8 3" xfId="5904" xr:uid="{00000000-0005-0000-0000-0000650E0000}"/>
    <cellStyle name="Normal 12 8 3 2" xfId="15230" xr:uid="{4A97CE69-9267-4128-883C-734EFBA4BD57}"/>
    <cellStyle name="Normal 12 8 4" xfId="11013" xr:uid="{96950765-7C3C-4A4F-A23B-69B151F5AE34}"/>
    <cellStyle name="Normal 12 9" xfId="2011" xr:uid="{00000000-0005-0000-0000-0000660E0000}"/>
    <cellStyle name="Normal 12 9 2" xfId="4240" xr:uid="{00000000-0005-0000-0000-0000670E0000}"/>
    <cellStyle name="Normal 12 9 2 2" xfId="8462" xr:uid="{00000000-0005-0000-0000-0000680E0000}"/>
    <cellStyle name="Normal 12 9 2 2 2" xfId="17788" xr:uid="{4B344436-D0DA-4761-A48F-FD19DDECE653}"/>
    <cellStyle name="Normal 12 9 2 3" xfId="13571" xr:uid="{049D62BA-9552-4697-A32A-B3F418B72212}"/>
    <cellStyle name="Normal 12 9 3" xfId="6317" xr:uid="{00000000-0005-0000-0000-0000690E0000}"/>
    <cellStyle name="Normal 12 9 3 2" xfId="15643" xr:uid="{57F417B8-D7A8-4D50-95AE-7D69DA02C86B}"/>
    <cellStyle name="Normal 12 9 4" xfId="11426" xr:uid="{36A59CFC-4712-40EC-8662-58E31308D59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AEED053A-46D5-4A33-8204-3693A67BC3B0}"/>
    <cellStyle name="Normal 14 2 2 3" xfId="12340" xr:uid="{6B975F32-68E4-434F-9A8B-A28BBAD95589}"/>
    <cellStyle name="Normal 14 2 3" xfId="5086" xr:uid="{00000000-0005-0000-0000-0000700E0000}"/>
    <cellStyle name="Normal 14 2 3 2" xfId="14412" xr:uid="{C3D0E45A-B544-4F47-BD4A-BCEE717AEBA8}"/>
    <cellStyle name="Normal 14 2 4" xfId="9371" xr:uid="{E1AFB5B4-F468-480A-B09F-3374B2F03BDA}"/>
    <cellStyle name="Normal 14 2 4 2" xfId="18686" xr:uid="{BE904FEB-66FE-46FE-B4C8-06EA35B7DBED}"/>
    <cellStyle name="Normal 14 2 5" xfId="10195" xr:uid="{DC6C5C2C-7BC2-4286-99EA-B9C541B9CEF1}"/>
    <cellStyle name="Normal 14 3" xfId="1191" xr:uid="{00000000-0005-0000-0000-0000710E0000}"/>
    <cellStyle name="Normal 14 3 2" xfId="3422" xr:uid="{00000000-0005-0000-0000-0000720E0000}"/>
    <cellStyle name="Normal 14 3 2 2" xfId="7644" xr:uid="{00000000-0005-0000-0000-0000730E0000}"/>
    <cellStyle name="Normal 14 3 2 2 2" xfId="16970" xr:uid="{7611589C-51D7-4E02-A0EB-B3E391772769}"/>
    <cellStyle name="Normal 14 3 2 3" xfId="12753" xr:uid="{F4FEB599-4ADE-4206-A2D6-09E77FF024BD}"/>
    <cellStyle name="Normal 14 3 3" xfId="5499" xr:uid="{00000000-0005-0000-0000-0000740E0000}"/>
    <cellStyle name="Normal 14 3 3 2" xfId="14825" xr:uid="{295FED37-CD24-4C69-ACDA-642D140592E4}"/>
    <cellStyle name="Normal 14 3 4" xfId="10608" xr:uid="{341C0B18-EC2A-45FE-9A0E-DC4AFEB8A9AD}"/>
    <cellStyle name="Normal 14 4" xfId="1605" xr:uid="{00000000-0005-0000-0000-0000750E0000}"/>
    <cellStyle name="Normal 14 4 2" xfId="3835" xr:uid="{00000000-0005-0000-0000-0000760E0000}"/>
    <cellStyle name="Normal 14 4 2 2" xfId="8057" xr:uid="{00000000-0005-0000-0000-0000770E0000}"/>
    <cellStyle name="Normal 14 4 2 2 2" xfId="17383" xr:uid="{7CBE3DBD-012E-4E71-8FAE-2EF3718A86F2}"/>
    <cellStyle name="Normal 14 4 2 3" xfId="13166" xr:uid="{35633FD1-4757-414F-B1ED-8FA9706BEB05}"/>
    <cellStyle name="Normal 14 4 3" xfId="5912" xr:uid="{00000000-0005-0000-0000-0000780E0000}"/>
    <cellStyle name="Normal 14 4 3 2" xfId="15238" xr:uid="{DF85AD71-D647-4ADD-9A3E-AC41DA311937}"/>
    <cellStyle name="Normal 14 4 4" xfId="11021" xr:uid="{611468B1-6380-441E-9168-EDB285B38748}"/>
    <cellStyle name="Normal 14 5" xfId="2019" xr:uid="{00000000-0005-0000-0000-0000790E0000}"/>
    <cellStyle name="Normal 14 5 2" xfId="4248" xr:uid="{00000000-0005-0000-0000-00007A0E0000}"/>
    <cellStyle name="Normal 14 5 2 2" xfId="8470" xr:uid="{00000000-0005-0000-0000-00007B0E0000}"/>
    <cellStyle name="Normal 14 5 2 2 2" xfId="17796" xr:uid="{3BD51D05-3412-4E6F-AEA3-BF9D69436C4C}"/>
    <cellStyle name="Normal 14 5 2 3" xfId="13579" xr:uid="{22881F1F-9FB6-4D14-83F9-D936F5B1203D}"/>
    <cellStyle name="Normal 14 5 3" xfId="6325" xr:uid="{00000000-0005-0000-0000-00007C0E0000}"/>
    <cellStyle name="Normal 14 5 3 2" xfId="15651" xr:uid="{7AB3EC5E-CBDC-40BC-869B-E00D3738D7F9}"/>
    <cellStyle name="Normal 14 5 4" xfId="11434" xr:uid="{E4EE547A-1D25-45D2-829E-86687118BB47}"/>
    <cellStyle name="Normal 14 6" xfId="2455" xr:uid="{00000000-0005-0000-0000-00007D0E0000}"/>
    <cellStyle name="Normal 14 6 2" xfId="6738" xr:uid="{00000000-0005-0000-0000-00007E0E0000}"/>
    <cellStyle name="Normal 14 6 2 2" xfId="16064" xr:uid="{56382894-E056-49DB-B89C-DE63E8A55239}"/>
    <cellStyle name="Normal 14 6 3" xfId="11847" xr:uid="{671E2266-9331-4DAB-ABDC-204F431BE604}"/>
    <cellStyle name="Normal 14 7" xfId="4672" xr:uid="{00000000-0005-0000-0000-00007F0E0000}"/>
    <cellStyle name="Normal 14 7 2" xfId="13998" xr:uid="{BA7B2571-0C50-4555-92AC-10BB2652389D}"/>
    <cellStyle name="Normal 14 8" xfId="8946" xr:uid="{DD997A1C-6669-41AA-8AC1-78121AFC796C}"/>
    <cellStyle name="Normal 14 8 2" xfId="18270" xr:uid="{8AA28A1F-9898-4D30-853D-0F021A23387B}"/>
    <cellStyle name="Normal 14 9" xfId="9781" xr:uid="{69597D93-75E9-425C-95C2-703011E497D0}"/>
    <cellStyle name="Normal 15" xfId="4496" xr:uid="{00000000-0005-0000-0000-0000800E0000}"/>
    <cellStyle name="Normal 15 2" xfId="9578" xr:uid="{99513E76-E7E2-49D8-ADC5-F882C61FFC79}"/>
    <cellStyle name="Normal 15 2 2" xfId="18893" xr:uid="{CB5AB748-6481-4537-938E-E9B2C02BFD3D}"/>
    <cellStyle name="Normal 15 3" xfId="9155" xr:uid="{47700DD8-A88A-4CB4-BFAD-BA75A2D4FC8E}"/>
    <cellStyle name="Normal 15 3 2" xfId="18477" xr:uid="{9F757DCB-D20A-4A5C-BB81-E4F8DEE5A6BD}"/>
    <cellStyle name="Normal 15 4" xfId="13824" xr:uid="{617BEB0B-BE3B-405C-A5AE-36AC5A92989E}"/>
    <cellStyle name="Normal 16" xfId="4500" xr:uid="{00000000-0005-0000-0000-0000810E0000}"/>
    <cellStyle name="Normal 16 2" xfId="8715" xr:uid="{00000000-0005-0000-0000-0000820E0000}"/>
    <cellStyle name="Normal 16 2 2" xfId="18041" xr:uid="{35ACA1D4-AD7B-4F39-86A2-D0083DF09657}"/>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67304AFC-8910-42B5-84D4-787210653B83}"/>
    <cellStyle name="Normal 16 3 2 2 2 2 3" xfId="18057" xr:uid="{CCD75155-D57C-483F-ACB1-D55DC5DA40D6}"/>
    <cellStyle name="Normal 16 3 2 2 2 3" xfId="18054" xr:uid="{56937F36-5136-48CE-A963-01A40F7BD068}"/>
    <cellStyle name="Normal 16 3 2 2 3" xfId="18050" xr:uid="{381AFF8F-1928-44BA-B2BD-86F641318936}"/>
    <cellStyle name="Normal 16 3 2 3" xfId="18047" xr:uid="{ED8E2E3E-115A-4832-ADFE-0FCFA58A31FE}"/>
    <cellStyle name="Normal 16 3 3" xfId="18044" xr:uid="{A8531F42-3AF5-4A68-A8D7-8DF70161D618}"/>
    <cellStyle name="Normal 16 4" xfId="9612" xr:uid="{8729F6E8-3534-4DAE-B0B2-B2AF3CDCD313}"/>
    <cellStyle name="Normal 16 5" xfId="13827" xr:uid="{C8F2847B-50BF-4AC9-A7ED-B703142D00D5}"/>
    <cellStyle name="Normal 17" xfId="8728" xr:uid="{3FF0972C-833B-4475-99D8-1A6907499E71}"/>
    <cellStyle name="Normal 17 2" xfId="9157" xr:uid="{6C872296-5E17-4821-9139-E52AD113B06C}"/>
    <cellStyle name="Normal 17 3" xfId="9154" xr:uid="{DC3FF210-EC1F-47CE-8CCE-F8F5460671B1}"/>
    <cellStyle name="Normal 17 4" xfId="18053" xr:uid="{6BE0A438-AF11-4912-A7FA-60F0A28DA032}"/>
    <cellStyle name="Normal 18" xfId="9153" xr:uid="{EF04732C-9519-4C21-BD73-A108E18EA17F}"/>
    <cellStyle name="Normal 19" xfId="8739" xr:uid="{D907EBA7-1F94-4726-9ABB-7E7835FFF57E}"/>
    <cellStyle name="Normal 19 2" xfId="18063" xr:uid="{A9BE4B66-ED73-47A1-97F9-FD5280C2115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51760794-5C18-40D4-A8DB-AFA0549C578F}"/>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E13CFF03-11F5-4302-8CA6-78C108E476A4}"/>
    <cellStyle name="Normal 2 4 2 10 2 3" xfId="13580" xr:uid="{59754B4F-E127-4302-88C8-F8CF62E26AE3}"/>
    <cellStyle name="Normal 2 4 2 10 3" xfId="6326" xr:uid="{00000000-0005-0000-0000-0000910E0000}"/>
    <cellStyle name="Normal 2 4 2 10 3 2" xfId="15652" xr:uid="{3D7841DC-214A-4B07-AF96-2686298FB3FE}"/>
    <cellStyle name="Normal 2 4 2 10 4" xfId="11435" xr:uid="{8802DAFB-73C0-4032-A569-3E3CB29BE6C1}"/>
    <cellStyle name="Normal 2 4 2 11" xfId="2456" xr:uid="{00000000-0005-0000-0000-0000920E0000}"/>
    <cellStyle name="Normal 2 4 2 11 2" xfId="6739" xr:uid="{00000000-0005-0000-0000-0000930E0000}"/>
    <cellStyle name="Normal 2 4 2 11 2 2" xfId="16065" xr:uid="{D660520C-B82A-4577-8C14-32E97D1D78E1}"/>
    <cellStyle name="Normal 2 4 2 11 3" xfId="11848" xr:uid="{CB9A66A9-8036-449C-B29E-B84D3BBE2209}"/>
    <cellStyle name="Normal 2 4 2 12" xfId="4673" xr:uid="{00000000-0005-0000-0000-0000940E0000}"/>
    <cellStyle name="Normal 2 4 2 12 2" xfId="13999" xr:uid="{12926BF8-E376-4E0D-B3AF-C4352E50F53B}"/>
    <cellStyle name="Normal 2 4 2 13" xfId="8757" xr:uid="{563A76DD-F7DD-49F0-A61E-0419F4C31301}"/>
    <cellStyle name="Normal 2 4 2 13 2" xfId="18081" xr:uid="{FE1A210E-7CD9-43B9-8725-4452091B25C3}"/>
    <cellStyle name="Normal 2 4 2 14" xfId="9782" xr:uid="{94B5848D-1BF1-4BCB-AACE-F01431E29CC9}"/>
    <cellStyle name="Normal 2 4 2 2" xfId="280" xr:uid="{00000000-0005-0000-0000-0000950E0000}"/>
    <cellStyle name="Normal 2 4 2 3" xfId="281" xr:uid="{00000000-0005-0000-0000-0000960E0000}"/>
    <cellStyle name="Normal 2 4 2 3 10" xfId="4674" xr:uid="{00000000-0005-0000-0000-0000970E0000}"/>
    <cellStyle name="Normal 2 4 2 3 10 2" xfId="14000" xr:uid="{CC2D96EB-9BD1-48B2-879E-3D61EBB4B186}"/>
    <cellStyle name="Normal 2 4 2 3 11" xfId="8788" xr:uid="{EAD3D227-C8EF-4F54-8D24-EE1EA1F017BB}"/>
    <cellStyle name="Normal 2 4 2 3 11 2" xfId="18112" xr:uid="{28A30CCF-6C5F-476F-990D-22697B048463}"/>
    <cellStyle name="Normal 2 4 2 3 12" xfId="9783" xr:uid="{F0365BD6-A38A-4832-A1CD-373D5D54A3DD}"/>
    <cellStyle name="Normal 2 4 2 3 2" xfId="282" xr:uid="{00000000-0005-0000-0000-0000980E0000}"/>
    <cellStyle name="Normal 2 4 2 3 2 10" xfId="8813" xr:uid="{C03AE35D-2438-4E07-AE9C-6D04EC6DA2B7}"/>
    <cellStyle name="Normal 2 4 2 3 2 10 2" xfId="18137" xr:uid="{C973DDD0-A359-4B75-8415-EC7B40A7C70F}"/>
    <cellStyle name="Normal 2 4 2 3 2 11" xfId="9784" xr:uid="{F111AD5A-FDC6-4D87-8DB8-DF73C0788457}"/>
    <cellStyle name="Normal 2 4 2 3 2 2" xfId="283" xr:uid="{00000000-0005-0000-0000-0000990E0000}"/>
    <cellStyle name="Normal 2 4 2 3 2 2 10" xfId="9785" xr:uid="{262777E9-AD2F-4DF1-BA61-8333476EA333}"/>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D3439350-B982-4E33-B343-2F158B34A557}"/>
    <cellStyle name="Normal 2 4 2 3 2 2 2 2 2 3" xfId="12345" xr:uid="{D429E114-D997-426E-AFE8-8E0965A28B59}"/>
    <cellStyle name="Normal 2 4 2 3 2 2 2 2 3" xfId="5091" xr:uid="{00000000-0005-0000-0000-00009E0E0000}"/>
    <cellStyle name="Normal 2 4 2 3 2 2 2 2 3 2" xfId="14417" xr:uid="{CDFAB4D2-0D6A-4469-87E1-607C5478373B}"/>
    <cellStyle name="Normal 2 4 2 3 2 2 2 2 4" xfId="9548" xr:uid="{29E7289E-B3F4-4F63-9B9C-B531B0E50CEB}"/>
    <cellStyle name="Normal 2 4 2 3 2 2 2 2 4 2" xfId="18863" xr:uid="{691A04F7-B2DC-4224-93C0-B9C2FD55478C}"/>
    <cellStyle name="Normal 2 4 2 3 2 2 2 2 5" xfId="10200" xr:uid="{FE18018E-B090-44F3-BAFB-6322B7AF83E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8A83C490-625A-41DF-8DDD-C50E0238EE4B}"/>
    <cellStyle name="Normal 2 4 2 3 2 2 2 3 2 3" xfId="12758" xr:uid="{3CF5246D-0BF3-466A-8FDE-E2A3F69C02E9}"/>
    <cellStyle name="Normal 2 4 2 3 2 2 2 3 3" xfId="5504" xr:uid="{00000000-0005-0000-0000-0000A20E0000}"/>
    <cellStyle name="Normal 2 4 2 3 2 2 2 3 3 2" xfId="14830" xr:uid="{234608B5-EAB7-4D4F-BB31-4018355ACCCE}"/>
    <cellStyle name="Normal 2 4 2 3 2 2 2 3 4" xfId="10613" xr:uid="{6EDCDDBD-111B-437A-8C68-ED0AA0387CE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EB4233C7-EA5B-42A7-86E0-F0E508E33902}"/>
    <cellStyle name="Normal 2 4 2 3 2 2 2 4 2 3" xfId="13171" xr:uid="{86B150A8-173E-4942-8F1A-6236B609B344}"/>
    <cellStyle name="Normal 2 4 2 3 2 2 2 4 3" xfId="5917" xr:uid="{00000000-0005-0000-0000-0000A60E0000}"/>
    <cellStyle name="Normal 2 4 2 3 2 2 2 4 3 2" xfId="15243" xr:uid="{61D72462-D0AE-4EA1-A654-D0D1D969764D}"/>
    <cellStyle name="Normal 2 4 2 3 2 2 2 4 4" xfId="11026" xr:uid="{85D718DF-146D-4CFE-9A0F-B33183C2DBC6}"/>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CCD2F899-8A12-4B1B-AE90-CDDD56FF66B9}"/>
    <cellStyle name="Normal 2 4 2 3 2 2 2 5 2 3" xfId="13584" xr:uid="{6138DDAC-7086-40FB-A702-48A2AA0162E8}"/>
    <cellStyle name="Normal 2 4 2 3 2 2 2 5 3" xfId="6330" xr:uid="{00000000-0005-0000-0000-0000AA0E0000}"/>
    <cellStyle name="Normal 2 4 2 3 2 2 2 5 3 2" xfId="15656" xr:uid="{1347695F-4D17-46D8-9F89-61A03FA937A8}"/>
    <cellStyle name="Normal 2 4 2 3 2 2 2 5 4" xfId="11439" xr:uid="{2B114BCA-B18E-416D-A938-6DBC2B257290}"/>
    <cellStyle name="Normal 2 4 2 3 2 2 2 6" xfId="2460" xr:uid="{00000000-0005-0000-0000-0000AB0E0000}"/>
    <cellStyle name="Normal 2 4 2 3 2 2 2 6 2" xfId="6743" xr:uid="{00000000-0005-0000-0000-0000AC0E0000}"/>
    <cellStyle name="Normal 2 4 2 3 2 2 2 6 2 2" xfId="16069" xr:uid="{37AC7E1A-F288-412B-BBD5-AD7972A11089}"/>
    <cellStyle name="Normal 2 4 2 3 2 2 2 6 3" xfId="11852" xr:uid="{73D1E49D-9F59-44D8-B5EF-B18B548E06D2}"/>
    <cellStyle name="Normal 2 4 2 3 2 2 2 7" xfId="4677" xr:uid="{00000000-0005-0000-0000-0000AD0E0000}"/>
    <cellStyle name="Normal 2 4 2 3 2 2 2 7 2" xfId="14003" xr:uid="{DB77E46D-DF8B-4BA5-9ABF-4C153996B083}"/>
    <cellStyle name="Normal 2 4 2 3 2 2 2 8" xfId="9123" xr:uid="{9F0183A9-880D-46D9-BB7D-5696E4723F5F}"/>
    <cellStyle name="Normal 2 4 2 3 2 2 2 8 2" xfId="18447" xr:uid="{226CF829-803B-4BE9-AA26-E8F142EA4800}"/>
    <cellStyle name="Normal 2 4 2 3 2 2 2 9" xfId="9786" xr:uid="{FD4ECFB8-9EC3-4F65-BC63-096C29DC0EF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A6716884-781A-4BF2-ADAA-C82C2317A21F}"/>
    <cellStyle name="Normal 2 4 2 3 2 2 3 2 3" xfId="12344" xr:uid="{EC35513C-20E1-443F-9D26-F763C72FB9FD}"/>
    <cellStyle name="Normal 2 4 2 3 2 2 3 3" xfId="5090" xr:uid="{00000000-0005-0000-0000-0000B10E0000}"/>
    <cellStyle name="Normal 2 4 2 3 2 2 3 3 2" xfId="14416" xr:uid="{6194085C-E20F-4CAD-AE1D-0DE7B448E3B1}"/>
    <cellStyle name="Normal 2 4 2 3 2 2 3 4" xfId="9341" xr:uid="{4F113FF5-050D-47D1-A7D5-F829C93D993D}"/>
    <cellStyle name="Normal 2 4 2 3 2 2 3 4 2" xfId="18656" xr:uid="{485BF50D-9127-44BC-8FC3-8797D3AF52DB}"/>
    <cellStyle name="Normal 2 4 2 3 2 2 3 5" xfId="10199" xr:uid="{55F03DBD-8D98-4954-B4CD-4E49B903B3F6}"/>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27C5C774-7677-48DA-8A27-7FFD44F1EE46}"/>
    <cellStyle name="Normal 2 4 2 3 2 2 4 2 3" xfId="12757" xr:uid="{BDB31695-8EE7-4BF2-83E5-4EE686DFA440}"/>
    <cellStyle name="Normal 2 4 2 3 2 2 4 3" xfId="5503" xr:uid="{00000000-0005-0000-0000-0000B50E0000}"/>
    <cellStyle name="Normal 2 4 2 3 2 2 4 3 2" xfId="14829" xr:uid="{42D8E7D8-409C-4F12-B331-0A0FBE8FD48F}"/>
    <cellStyle name="Normal 2 4 2 3 2 2 4 4" xfId="10612" xr:uid="{4360FC55-7A77-4E11-AEDA-BDC7809CC63A}"/>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E109F226-A159-4E5E-BB75-ECBCACE1532D}"/>
    <cellStyle name="Normal 2 4 2 3 2 2 5 2 3" xfId="13170" xr:uid="{0E7FACC6-F54A-483D-866C-74E9EF2784B5}"/>
    <cellStyle name="Normal 2 4 2 3 2 2 5 3" xfId="5916" xr:uid="{00000000-0005-0000-0000-0000B90E0000}"/>
    <cellStyle name="Normal 2 4 2 3 2 2 5 3 2" xfId="15242" xr:uid="{96779A58-BCAB-4E97-B3BF-B3A38B67C734}"/>
    <cellStyle name="Normal 2 4 2 3 2 2 5 4" xfId="11025" xr:uid="{03778C31-0946-4C40-8122-26AAE3988F97}"/>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91BC8A7A-EB71-43D8-92C1-6301BC92EB01}"/>
    <cellStyle name="Normal 2 4 2 3 2 2 6 2 3" xfId="13583" xr:uid="{E9627487-4069-4BBA-AC5A-811E79D9EB99}"/>
    <cellStyle name="Normal 2 4 2 3 2 2 6 3" xfId="6329" xr:uid="{00000000-0005-0000-0000-0000BD0E0000}"/>
    <cellStyle name="Normal 2 4 2 3 2 2 6 3 2" xfId="15655" xr:uid="{09F11579-C4A5-45B0-B271-50CB10B6CDCA}"/>
    <cellStyle name="Normal 2 4 2 3 2 2 6 4" xfId="11438" xr:uid="{4A6F9E8D-8550-451D-BA81-075F9EC77F47}"/>
    <cellStyle name="Normal 2 4 2 3 2 2 7" xfId="2459" xr:uid="{00000000-0005-0000-0000-0000BE0E0000}"/>
    <cellStyle name="Normal 2 4 2 3 2 2 7 2" xfId="6742" xr:uid="{00000000-0005-0000-0000-0000BF0E0000}"/>
    <cellStyle name="Normal 2 4 2 3 2 2 7 2 2" xfId="16068" xr:uid="{66C59563-9062-4A1F-930F-43400D5B0335}"/>
    <cellStyle name="Normal 2 4 2 3 2 2 7 3" xfId="11851" xr:uid="{4F2C6E74-70E7-4538-B4A7-53276CBF656F}"/>
    <cellStyle name="Normal 2 4 2 3 2 2 8" xfId="4676" xr:uid="{00000000-0005-0000-0000-0000C00E0000}"/>
    <cellStyle name="Normal 2 4 2 3 2 2 8 2" xfId="14002" xr:uid="{7007C5C6-0CCD-4DF4-BDDB-25CBDE3C183F}"/>
    <cellStyle name="Normal 2 4 2 3 2 2 9" xfId="8916" xr:uid="{1EF18CC7-44BB-43EB-8DB6-D193CEF128C1}"/>
    <cellStyle name="Normal 2 4 2 3 2 2 9 2" xfId="18240" xr:uid="{DA8483DC-40CD-4639-95A9-4B02F8A0D91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08A61FA8-5896-46CE-B017-E8ADDEDEBCB0}"/>
    <cellStyle name="Normal 2 4 2 3 2 3 2 2 3" xfId="12346" xr:uid="{4545D582-14F2-4C83-9684-84D1896F7DAB}"/>
    <cellStyle name="Normal 2 4 2 3 2 3 2 3" xfId="5092" xr:uid="{00000000-0005-0000-0000-0000C50E0000}"/>
    <cellStyle name="Normal 2 4 2 3 2 3 2 3 2" xfId="14418" xr:uid="{527B629C-BFD5-4200-BDF1-BABB93F2077B}"/>
    <cellStyle name="Normal 2 4 2 3 2 3 2 4" xfId="9445" xr:uid="{67F9E33C-8554-469D-8D7A-1147F632F3B0}"/>
    <cellStyle name="Normal 2 4 2 3 2 3 2 4 2" xfId="18760" xr:uid="{A909CDC5-3A7D-4FE6-82D6-6F6F7BA40D57}"/>
    <cellStyle name="Normal 2 4 2 3 2 3 2 5" xfId="10201" xr:uid="{8FCCEBE8-6ACC-47C4-ADA1-219172FC7397}"/>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7FEDE930-C417-4280-9C32-EA1A02864829}"/>
    <cellStyle name="Normal 2 4 2 3 2 3 3 2 3" xfId="12759" xr:uid="{CBB3C21E-6A5F-4255-98CB-D7755CE7F292}"/>
    <cellStyle name="Normal 2 4 2 3 2 3 3 3" xfId="5505" xr:uid="{00000000-0005-0000-0000-0000C90E0000}"/>
    <cellStyle name="Normal 2 4 2 3 2 3 3 3 2" xfId="14831" xr:uid="{87B8430D-DE44-4972-A12C-69C686AF2DD1}"/>
    <cellStyle name="Normal 2 4 2 3 2 3 3 4" xfId="10614" xr:uid="{B392DC10-A7A1-4AD4-A94F-4BE6719785F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C8E47D72-3812-4BF1-A9B0-B7DCCAB7C2E5}"/>
    <cellStyle name="Normal 2 4 2 3 2 3 4 2 3" xfId="13172" xr:uid="{04442B2D-9DC4-44B5-A534-96CEEB8E9A59}"/>
    <cellStyle name="Normal 2 4 2 3 2 3 4 3" xfId="5918" xr:uid="{00000000-0005-0000-0000-0000CD0E0000}"/>
    <cellStyle name="Normal 2 4 2 3 2 3 4 3 2" xfId="15244" xr:uid="{A38BB29E-83F7-4CF2-A637-401132259B48}"/>
    <cellStyle name="Normal 2 4 2 3 2 3 4 4" xfId="11027" xr:uid="{F92249CE-D85D-45BC-92AE-18A0594869DD}"/>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747925C1-B211-49CD-B2E4-BF150C2B348D}"/>
    <cellStyle name="Normal 2 4 2 3 2 3 5 2 3" xfId="13585" xr:uid="{26E0D6B4-E927-4B22-960C-14F5C612BAD4}"/>
    <cellStyle name="Normal 2 4 2 3 2 3 5 3" xfId="6331" xr:uid="{00000000-0005-0000-0000-0000D10E0000}"/>
    <cellStyle name="Normal 2 4 2 3 2 3 5 3 2" xfId="15657" xr:uid="{7238AF42-8128-43D9-94C4-B7E1851891C3}"/>
    <cellStyle name="Normal 2 4 2 3 2 3 5 4" xfId="11440" xr:uid="{564CC64A-51DF-4244-A909-942B177C4FF8}"/>
    <cellStyle name="Normal 2 4 2 3 2 3 6" xfId="2461" xr:uid="{00000000-0005-0000-0000-0000D20E0000}"/>
    <cellStyle name="Normal 2 4 2 3 2 3 6 2" xfId="6744" xr:uid="{00000000-0005-0000-0000-0000D30E0000}"/>
    <cellStyle name="Normal 2 4 2 3 2 3 6 2 2" xfId="16070" xr:uid="{0EF81391-749C-4359-85FD-23C2D3DABDC9}"/>
    <cellStyle name="Normal 2 4 2 3 2 3 6 3" xfId="11853" xr:uid="{5397AB28-E1EF-4FB9-9DA5-1811BC53C6EC}"/>
    <cellStyle name="Normal 2 4 2 3 2 3 7" xfId="4678" xr:uid="{00000000-0005-0000-0000-0000D40E0000}"/>
    <cellStyle name="Normal 2 4 2 3 2 3 7 2" xfId="14004" xr:uid="{F107BE59-8E2C-4736-9C08-988EDF9C5BBA}"/>
    <cellStyle name="Normal 2 4 2 3 2 3 8" xfId="9020" xr:uid="{5718F785-8E2C-4B45-91D1-4597173D90A6}"/>
    <cellStyle name="Normal 2 4 2 3 2 3 8 2" xfId="18344" xr:uid="{4E1A75CD-8E81-4F34-8129-169519032F27}"/>
    <cellStyle name="Normal 2 4 2 3 2 3 9" xfId="9787" xr:uid="{C748735C-DB9E-42AD-B846-9C63CCE2D05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A8245DDC-5F8F-4979-9640-67DA2BF194B2}"/>
    <cellStyle name="Normal 2 4 2 3 2 4 2 3" xfId="12343" xr:uid="{CB23A7B7-E9FE-4E0E-9D8E-2FC68A43D8CB}"/>
    <cellStyle name="Normal 2 4 2 3 2 4 3" xfId="5089" xr:uid="{00000000-0005-0000-0000-0000D80E0000}"/>
    <cellStyle name="Normal 2 4 2 3 2 4 3 2" xfId="14415" xr:uid="{C6761FCD-CEB5-4C8B-AAD9-C3109A6CCC6B}"/>
    <cellStyle name="Normal 2 4 2 3 2 4 4" xfId="9238" xr:uid="{BC6E5A3D-C256-46E9-A109-D643C24AA206}"/>
    <cellStyle name="Normal 2 4 2 3 2 4 4 2" xfId="18553" xr:uid="{3B20C902-D378-486D-8B58-8DDE11FE4673}"/>
    <cellStyle name="Normal 2 4 2 3 2 4 5" xfId="10198" xr:uid="{4E18C857-6B3F-4912-854E-60F517EDB317}"/>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429385CB-C035-4EF7-A324-84CEF9767F18}"/>
    <cellStyle name="Normal 2 4 2 3 2 5 2 3" xfId="12756" xr:uid="{300F76A7-FBC1-4A66-BE2C-75595F6EA6BD}"/>
    <cellStyle name="Normal 2 4 2 3 2 5 3" xfId="5502" xr:uid="{00000000-0005-0000-0000-0000DC0E0000}"/>
    <cellStyle name="Normal 2 4 2 3 2 5 3 2" xfId="14828" xr:uid="{10153C3E-5D8D-4FF6-AFC0-08AFA8876082}"/>
    <cellStyle name="Normal 2 4 2 3 2 5 4" xfId="10611" xr:uid="{D658CFD4-29B5-4DA9-AB91-E5BE7D6E7307}"/>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627B16AA-C46C-458F-964D-673650ED08C8}"/>
    <cellStyle name="Normal 2 4 2 3 2 6 2 3" xfId="13169" xr:uid="{560078C3-BDB8-4584-B32D-A2F63E1F2A84}"/>
    <cellStyle name="Normal 2 4 2 3 2 6 3" xfId="5915" xr:uid="{00000000-0005-0000-0000-0000E00E0000}"/>
    <cellStyle name="Normal 2 4 2 3 2 6 3 2" xfId="15241" xr:uid="{09AFD0EE-AAC7-44F8-964F-CE471317B474}"/>
    <cellStyle name="Normal 2 4 2 3 2 6 4" xfId="11024" xr:uid="{9C882DC1-249D-4F08-BF5B-0AECFFB3933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D7927FFD-78AE-4592-8B88-57074314A9D4}"/>
    <cellStyle name="Normal 2 4 2 3 2 7 2 3" xfId="13582" xr:uid="{53A49DC1-FA19-45D9-9A40-C77D4EBC6FE1}"/>
    <cellStyle name="Normal 2 4 2 3 2 7 3" xfId="6328" xr:uid="{00000000-0005-0000-0000-0000E40E0000}"/>
    <cellStyle name="Normal 2 4 2 3 2 7 3 2" xfId="15654" xr:uid="{1F75AB93-9231-40D5-AF9E-F42B8C0FD10F}"/>
    <cellStyle name="Normal 2 4 2 3 2 7 4" xfId="11437" xr:uid="{CCE0627A-18B2-45F1-A37B-37086E0D3290}"/>
    <cellStyle name="Normal 2 4 2 3 2 8" xfId="2458" xr:uid="{00000000-0005-0000-0000-0000E50E0000}"/>
    <cellStyle name="Normal 2 4 2 3 2 8 2" xfId="6741" xr:uid="{00000000-0005-0000-0000-0000E60E0000}"/>
    <cellStyle name="Normal 2 4 2 3 2 8 2 2" xfId="16067" xr:uid="{89ADD0C5-E25B-4745-8513-F80AB78723BA}"/>
    <cellStyle name="Normal 2 4 2 3 2 8 3" xfId="11850" xr:uid="{76292603-374F-4B56-8E81-5E21F2F5F253}"/>
    <cellStyle name="Normal 2 4 2 3 2 9" xfId="4675" xr:uid="{00000000-0005-0000-0000-0000E70E0000}"/>
    <cellStyle name="Normal 2 4 2 3 2 9 2" xfId="14001" xr:uid="{C8220C68-D309-4140-816C-3218484C0D3C}"/>
    <cellStyle name="Normal 2 4 2 3 3" xfId="286" xr:uid="{00000000-0005-0000-0000-0000E80E0000}"/>
    <cellStyle name="Normal 2 4 2 3 3 10" xfId="9788" xr:uid="{B47CD6EF-E4C4-4254-A4A9-6228D8B6F5B3}"/>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3266CE44-08FB-4684-B23E-C226C10F7C6D}"/>
    <cellStyle name="Normal 2 4 2 3 3 2 2 2 3" xfId="12348" xr:uid="{53C75500-88D9-4BE4-A1E2-102CB33C0FF1}"/>
    <cellStyle name="Normal 2 4 2 3 3 2 2 3" xfId="5094" xr:uid="{00000000-0005-0000-0000-0000ED0E0000}"/>
    <cellStyle name="Normal 2 4 2 3 3 2 2 3 2" xfId="14420" xr:uid="{E2E3B32D-4FF1-41A6-AEE8-F53ED3BE6AB0}"/>
    <cellStyle name="Normal 2 4 2 3 3 2 2 4" xfId="9523" xr:uid="{49BCB42B-3FEB-4D87-8E20-52FE775F87DD}"/>
    <cellStyle name="Normal 2 4 2 3 3 2 2 4 2" xfId="18838" xr:uid="{ACFA4F4E-79E9-4F4E-A35C-128671B62BEC}"/>
    <cellStyle name="Normal 2 4 2 3 3 2 2 5" xfId="10203" xr:uid="{75B89487-45E6-446C-96E4-C319A82A59EE}"/>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9F1B9FD5-C7D2-4039-BAB9-11A17F20ECCE}"/>
    <cellStyle name="Normal 2 4 2 3 3 2 3 2 3" xfId="12761" xr:uid="{FEBDEB2C-3E5F-443E-816F-86C75C4FC20B}"/>
    <cellStyle name="Normal 2 4 2 3 3 2 3 3" xfId="5507" xr:uid="{00000000-0005-0000-0000-0000F10E0000}"/>
    <cellStyle name="Normal 2 4 2 3 3 2 3 3 2" xfId="14833" xr:uid="{02D0EEF7-C7DD-412E-A1E2-D6759C03C3F3}"/>
    <cellStyle name="Normal 2 4 2 3 3 2 3 4" xfId="10616" xr:uid="{AE7D1737-899E-480E-9F27-E45463540CE4}"/>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BBB43998-2EF3-4EC6-BBF0-6757B3E941E4}"/>
    <cellStyle name="Normal 2 4 2 3 3 2 4 2 3" xfId="13174" xr:uid="{21D80255-23BA-4EAE-B09C-D44041C9892B}"/>
    <cellStyle name="Normal 2 4 2 3 3 2 4 3" xfId="5920" xr:uid="{00000000-0005-0000-0000-0000F50E0000}"/>
    <cellStyle name="Normal 2 4 2 3 3 2 4 3 2" xfId="15246" xr:uid="{EDA178A4-2328-41A6-B6A0-AF70330F4E43}"/>
    <cellStyle name="Normal 2 4 2 3 3 2 4 4" xfId="11029" xr:uid="{5858D699-064D-4668-BCEE-26B88EC31B9B}"/>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D73F3A55-C959-44E2-85F5-01D8ABFAD233}"/>
    <cellStyle name="Normal 2 4 2 3 3 2 5 2 3" xfId="13587" xr:uid="{164C4314-AEA9-4302-A79C-0BAFB9AA98B0}"/>
    <cellStyle name="Normal 2 4 2 3 3 2 5 3" xfId="6333" xr:uid="{00000000-0005-0000-0000-0000F90E0000}"/>
    <cellStyle name="Normal 2 4 2 3 3 2 5 3 2" xfId="15659" xr:uid="{8AE729AB-8A86-46F7-AB2A-6CB04DB271FC}"/>
    <cellStyle name="Normal 2 4 2 3 3 2 5 4" xfId="11442" xr:uid="{C7D9AF82-96E6-4104-A32D-054D8EDEC6CA}"/>
    <cellStyle name="Normal 2 4 2 3 3 2 6" xfId="2463" xr:uid="{00000000-0005-0000-0000-0000FA0E0000}"/>
    <cellStyle name="Normal 2 4 2 3 3 2 6 2" xfId="6746" xr:uid="{00000000-0005-0000-0000-0000FB0E0000}"/>
    <cellStyle name="Normal 2 4 2 3 3 2 6 2 2" xfId="16072" xr:uid="{3DAC912C-97A0-4F9E-A095-AC97F5924DAE}"/>
    <cellStyle name="Normal 2 4 2 3 3 2 6 3" xfId="11855" xr:uid="{7D81CA5A-93E8-4A6C-B287-B403784D68BE}"/>
    <cellStyle name="Normal 2 4 2 3 3 2 7" xfId="4680" xr:uid="{00000000-0005-0000-0000-0000FC0E0000}"/>
    <cellStyle name="Normal 2 4 2 3 3 2 7 2" xfId="14006" xr:uid="{B5951FF5-70BD-40D5-AB0A-3B38D15E0614}"/>
    <cellStyle name="Normal 2 4 2 3 3 2 8" xfId="9098" xr:uid="{15335B31-FFDD-479D-88EC-FAB83DC4E6EC}"/>
    <cellStyle name="Normal 2 4 2 3 3 2 8 2" xfId="18422" xr:uid="{CC3F4202-7630-4A43-B6B6-D3A699C02E6E}"/>
    <cellStyle name="Normal 2 4 2 3 3 2 9" xfId="9789" xr:uid="{41C32960-86A0-4193-A198-9A822F35AEC2}"/>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798AFDBC-5731-4E35-8DC4-0907712E8442}"/>
    <cellStyle name="Normal 2 4 2 3 3 3 2 3" xfId="12347" xr:uid="{F71D7FE4-EF8A-48C5-B732-D9587B6C4CC2}"/>
    <cellStyle name="Normal 2 4 2 3 3 3 3" xfId="5093" xr:uid="{00000000-0005-0000-0000-0000000F0000}"/>
    <cellStyle name="Normal 2 4 2 3 3 3 3 2" xfId="14419" xr:uid="{B1190695-0586-4D63-84D6-9B26693BF814}"/>
    <cellStyle name="Normal 2 4 2 3 3 3 4" xfId="9316" xr:uid="{C8C83D09-5A3A-4C90-8A04-9D7CD8C85B11}"/>
    <cellStyle name="Normal 2 4 2 3 3 3 4 2" xfId="18631" xr:uid="{1200B67D-CB01-42AB-8FCC-525682D43A1A}"/>
    <cellStyle name="Normal 2 4 2 3 3 3 5" xfId="10202" xr:uid="{E2E9E447-3D46-4015-8C9C-39C50D1A25E9}"/>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9F66AF63-A8C0-419F-94B8-90197A035AEB}"/>
    <cellStyle name="Normal 2 4 2 3 3 4 2 3" xfId="12760" xr:uid="{323E75C5-90C3-4A15-81FB-D0C63FC1DA6B}"/>
    <cellStyle name="Normal 2 4 2 3 3 4 3" xfId="5506" xr:uid="{00000000-0005-0000-0000-0000040F0000}"/>
    <cellStyle name="Normal 2 4 2 3 3 4 3 2" xfId="14832" xr:uid="{D2028803-823C-43A7-A25C-779366D6754C}"/>
    <cellStyle name="Normal 2 4 2 3 3 4 4" xfId="10615" xr:uid="{7CC66194-718C-4F6B-9BE6-36DE5FD1FE57}"/>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FD61F556-4280-468D-B37B-8C40B15153D9}"/>
    <cellStyle name="Normal 2 4 2 3 3 5 2 3" xfId="13173" xr:uid="{F130AC84-5325-4F73-88D6-D304F01B9262}"/>
    <cellStyle name="Normal 2 4 2 3 3 5 3" xfId="5919" xr:uid="{00000000-0005-0000-0000-0000080F0000}"/>
    <cellStyle name="Normal 2 4 2 3 3 5 3 2" xfId="15245" xr:uid="{03257320-2E59-4163-9D47-60E0B752E63A}"/>
    <cellStyle name="Normal 2 4 2 3 3 5 4" xfId="11028" xr:uid="{21AD9063-DA54-4767-AAAE-A36846A3CC91}"/>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7752AB35-881B-4DBD-A923-8B1F6C7685F1}"/>
    <cellStyle name="Normal 2 4 2 3 3 6 2 3" xfId="13586" xr:uid="{BF7E6A4D-FDA4-4DBB-85D3-957A603F40AD}"/>
    <cellStyle name="Normal 2 4 2 3 3 6 3" xfId="6332" xr:uid="{00000000-0005-0000-0000-00000C0F0000}"/>
    <cellStyle name="Normal 2 4 2 3 3 6 3 2" xfId="15658" xr:uid="{C8115C7F-3977-4403-B0C5-78B7AD390B59}"/>
    <cellStyle name="Normal 2 4 2 3 3 6 4" xfId="11441" xr:uid="{C5C87FFD-5A53-4419-9D13-F89581F8036E}"/>
    <cellStyle name="Normal 2 4 2 3 3 7" xfId="2462" xr:uid="{00000000-0005-0000-0000-00000D0F0000}"/>
    <cellStyle name="Normal 2 4 2 3 3 7 2" xfId="6745" xr:uid="{00000000-0005-0000-0000-00000E0F0000}"/>
    <cellStyle name="Normal 2 4 2 3 3 7 2 2" xfId="16071" xr:uid="{92B15592-936C-46B9-8D28-102515B2F54E}"/>
    <cellStyle name="Normal 2 4 2 3 3 7 3" xfId="11854" xr:uid="{DA4667BE-04A0-464F-A075-D5E771481B62}"/>
    <cellStyle name="Normal 2 4 2 3 3 8" xfId="4679" xr:uid="{00000000-0005-0000-0000-00000F0F0000}"/>
    <cellStyle name="Normal 2 4 2 3 3 8 2" xfId="14005" xr:uid="{ACC8F44A-C06B-42D2-8981-DA15A725941C}"/>
    <cellStyle name="Normal 2 4 2 3 3 9" xfId="8891" xr:uid="{D2DF60A1-A34B-4A3F-B29E-E581EFBA8360}"/>
    <cellStyle name="Normal 2 4 2 3 3 9 2" xfId="18215" xr:uid="{AE9B2914-02D2-4360-80AF-DEC18139AA4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4ABC2873-E1A0-4FC5-921B-7FAD54AD7C50}"/>
    <cellStyle name="Normal 2 4 2 3 4 2 2 3" xfId="12349" xr:uid="{5390E9A2-B5A8-4DC1-BFBA-97858C19BBB5}"/>
    <cellStyle name="Normal 2 4 2 3 4 2 3" xfId="5095" xr:uid="{00000000-0005-0000-0000-0000140F0000}"/>
    <cellStyle name="Normal 2 4 2 3 4 2 3 2" xfId="14421" xr:uid="{37EF5908-BE3A-43E2-A300-0C8C201FE4D9}"/>
    <cellStyle name="Normal 2 4 2 3 4 2 4" xfId="9420" xr:uid="{49E252B3-99BC-416A-A0CB-FE2641ECFDE3}"/>
    <cellStyle name="Normal 2 4 2 3 4 2 4 2" xfId="18735" xr:uid="{329ED598-8AD5-489F-96D0-CB70642D72E1}"/>
    <cellStyle name="Normal 2 4 2 3 4 2 5" xfId="10204" xr:uid="{4568BB1C-5BC6-4E31-9DC2-197A6FDA858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46594D05-6E32-470F-A54A-86A1ADCB8F68}"/>
    <cellStyle name="Normal 2 4 2 3 4 3 2 3" xfId="12762" xr:uid="{925D5EEC-3688-49D8-948E-5685515BBF76}"/>
    <cellStyle name="Normal 2 4 2 3 4 3 3" xfId="5508" xr:uid="{00000000-0005-0000-0000-0000180F0000}"/>
    <cellStyle name="Normal 2 4 2 3 4 3 3 2" xfId="14834" xr:uid="{D9DA4414-2864-4078-AF16-4CD6B7CC1C61}"/>
    <cellStyle name="Normal 2 4 2 3 4 3 4" xfId="10617" xr:uid="{E7906232-50C2-4399-A72D-B5A08C6C4CBE}"/>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B981D8B5-C078-48E3-998D-9032DCD96A67}"/>
    <cellStyle name="Normal 2 4 2 3 4 4 2 3" xfId="13175" xr:uid="{F440A0D9-287E-442A-9F04-ED91EC284A66}"/>
    <cellStyle name="Normal 2 4 2 3 4 4 3" xfId="5921" xr:uid="{00000000-0005-0000-0000-00001C0F0000}"/>
    <cellStyle name="Normal 2 4 2 3 4 4 3 2" xfId="15247" xr:uid="{25E9289B-00ED-49DE-96F8-BCA430FB19F7}"/>
    <cellStyle name="Normal 2 4 2 3 4 4 4" xfId="11030" xr:uid="{DB53C3A8-C132-47A0-B328-C8C4F1841B6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00FC663A-0F8F-4C0E-B26F-256068B0389D}"/>
    <cellStyle name="Normal 2 4 2 3 4 5 2 3" xfId="13588" xr:uid="{76039510-DF19-4439-A7A2-1BDAB7076E66}"/>
    <cellStyle name="Normal 2 4 2 3 4 5 3" xfId="6334" xr:uid="{00000000-0005-0000-0000-0000200F0000}"/>
    <cellStyle name="Normal 2 4 2 3 4 5 3 2" xfId="15660" xr:uid="{88842603-3C7C-4280-BFC0-789B30AF4C11}"/>
    <cellStyle name="Normal 2 4 2 3 4 5 4" xfId="11443" xr:uid="{238A9CB9-AF19-4680-9403-60F805552409}"/>
    <cellStyle name="Normal 2 4 2 3 4 6" xfId="2464" xr:uid="{00000000-0005-0000-0000-0000210F0000}"/>
    <cellStyle name="Normal 2 4 2 3 4 6 2" xfId="6747" xr:uid="{00000000-0005-0000-0000-0000220F0000}"/>
    <cellStyle name="Normal 2 4 2 3 4 6 2 2" xfId="16073" xr:uid="{DABDEF8F-DE38-4619-89DB-208C82D3F1B6}"/>
    <cellStyle name="Normal 2 4 2 3 4 6 3" xfId="11856" xr:uid="{23451734-0208-4568-92BF-F829310BBB0A}"/>
    <cellStyle name="Normal 2 4 2 3 4 7" xfId="4681" xr:uid="{00000000-0005-0000-0000-0000230F0000}"/>
    <cellStyle name="Normal 2 4 2 3 4 7 2" xfId="14007" xr:uid="{42B93ECD-C8CF-48FC-849A-7D0D188E4D8D}"/>
    <cellStyle name="Normal 2 4 2 3 4 8" xfId="8995" xr:uid="{EEE25A27-4C18-4948-8341-FF27707A7A86}"/>
    <cellStyle name="Normal 2 4 2 3 4 8 2" xfId="18319" xr:uid="{B714EC72-A535-4214-A42F-06AF1AB028F9}"/>
    <cellStyle name="Normal 2 4 2 3 4 9" xfId="9790" xr:uid="{D5C66D45-68BB-4139-95EE-E0C559D550D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7F76065E-7A27-4DB6-9205-3285C5864EA0}"/>
    <cellStyle name="Normal 2 4 2 3 5 2 3" xfId="12342" xr:uid="{3CCA439C-C2E0-4D7D-BF87-E549CB6EB19D}"/>
    <cellStyle name="Normal 2 4 2 3 5 3" xfId="5088" xr:uid="{00000000-0005-0000-0000-0000270F0000}"/>
    <cellStyle name="Normal 2 4 2 3 5 3 2" xfId="14414" xr:uid="{A0263675-A6BB-44B2-8451-CDAC938B3C08}"/>
    <cellStyle name="Normal 2 4 2 3 5 4" xfId="9212" xr:uid="{39F1BF9F-C79C-4226-B2D8-665EAA6F3686}"/>
    <cellStyle name="Normal 2 4 2 3 5 4 2" xfId="18528" xr:uid="{F23B5947-192B-4CAB-9BE8-7BE75F5B7BB1}"/>
    <cellStyle name="Normal 2 4 2 3 5 5" xfId="10197" xr:uid="{F31A5D1E-6A9A-4D22-88F0-D30931C000CC}"/>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7D0BBD35-643B-4050-8C33-DD5B078DB8A5}"/>
    <cellStyle name="Normal 2 4 2 3 6 2 3" xfId="12755" xr:uid="{3939BC1E-6AE0-4C58-81CE-4D839CD80A50}"/>
    <cellStyle name="Normal 2 4 2 3 6 3" xfId="5501" xr:uid="{00000000-0005-0000-0000-00002B0F0000}"/>
    <cellStyle name="Normal 2 4 2 3 6 3 2" xfId="14827" xr:uid="{72B6F883-8DBE-4CA0-AFE2-FFE119D3F8C5}"/>
    <cellStyle name="Normal 2 4 2 3 6 4" xfId="10610" xr:uid="{779D1AAE-F92E-448B-A059-51D8382C053A}"/>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C6171539-ECD7-422E-9A2C-B3A557EA9A7A}"/>
    <cellStyle name="Normal 2 4 2 3 7 2 3" xfId="13168" xr:uid="{0A8F5178-3736-48D7-80FD-74B48CBC2809}"/>
    <cellStyle name="Normal 2 4 2 3 7 3" xfId="5914" xr:uid="{00000000-0005-0000-0000-00002F0F0000}"/>
    <cellStyle name="Normal 2 4 2 3 7 3 2" xfId="15240" xr:uid="{6D2B1037-94F0-4F4A-B54F-43358C81984F}"/>
    <cellStyle name="Normal 2 4 2 3 7 4" xfId="11023" xr:uid="{A483142F-364C-4DB9-9083-17CB807956D3}"/>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F4854016-C7E2-4027-A5F8-7BC07D001D04}"/>
    <cellStyle name="Normal 2 4 2 3 8 2 3" xfId="13581" xr:uid="{E5E8B44A-B913-43A0-B406-D80ABEE3047E}"/>
    <cellStyle name="Normal 2 4 2 3 8 3" xfId="6327" xr:uid="{00000000-0005-0000-0000-0000330F0000}"/>
    <cellStyle name="Normal 2 4 2 3 8 3 2" xfId="15653" xr:uid="{E170CA85-7249-4EBA-BC7E-7CA83525F05B}"/>
    <cellStyle name="Normal 2 4 2 3 8 4" xfId="11436" xr:uid="{BCC4014F-4AEB-4E1C-8917-0A11F0FC3023}"/>
    <cellStyle name="Normal 2 4 2 3 9" xfId="2457" xr:uid="{00000000-0005-0000-0000-0000340F0000}"/>
    <cellStyle name="Normal 2 4 2 3 9 2" xfId="6740" xr:uid="{00000000-0005-0000-0000-0000350F0000}"/>
    <cellStyle name="Normal 2 4 2 3 9 2 2" xfId="16066" xr:uid="{9FDE9E66-F6B6-4019-A376-850AEB8F0CC9}"/>
    <cellStyle name="Normal 2 4 2 3 9 3" xfId="11849" xr:uid="{3939D1F7-8A6A-4F90-8916-A8D89F4102AB}"/>
    <cellStyle name="Normal 2 4 2 4" xfId="289" xr:uid="{00000000-0005-0000-0000-0000360F0000}"/>
    <cellStyle name="Normal 2 4 2 4 10" xfId="8812" xr:uid="{C2E08BA7-2068-4F74-AFE2-E0AED0B82FE2}"/>
    <cellStyle name="Normal 2 4 2 4 10 2" xfId="18136" xr:uid="{CDAFE40A-FC11-4D4C-9454-7434F22A1E67}"/>
    <cellStyle name="Normal 2 4 2 4 11" xfId="9791" xr:uid="{C12C6A4A-62C9-45E6-B4DF-AD167048B7CA}"/>
    <cellStyle name="Normal 2 4 2 4 2" xfId="290" xr:uid="{00000000-0005-0000-0000-0000370F0000}"/>
    <cellStyle name="Normal 2 4 2 4 2 10" xfId="9792" xr:uid="{C5891F7E-9CD0-473D-95B6-C4F5ABA8CAF7}"/>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8C766EE1-29CD-4FF9-B2E2-89B149641DBB}"/>
    <cellStyle name="Normal 2 4 2 4 2 2 2 2 3" xfId="12352" xr:uid="{53523A63-63C4-4EF3-9D82-685F3C592A79}"/>
    <cellStyle name="Normal 2 4 2 4 2 2 2 3" xfId="5098" xr:uid="{00000000-0005-0000-0000-00003C0F0000}"/>
    <cellStyle name="Normal 2 4 2 4 2 2 2 3 2" xfId="14424" xr:uid="{D72A3E8D-53E6-4D97-8010-1BCB6E346A68}"/>
    <cellStyle name="Normal 2 4 2 4 2 2 2 4" xfId="9547" xr:uid="{F8909421-8B16-4168-8B85-A5523C430C3C}"/>
    <cellStyle name="Normal 2 4 2 4 2 2 2 4 2" xfId="18862" xr:uid="{4BA9FBD0-A209-4625-9FEE-BB4B3E7A6764}"/>
    <cellStyle name="Normal 2 4 2 4 2 2 2 5" xfId="10207" xr:uid="{B2B4CA22-762D-43BE-8665-CA88E9E88A56}"/>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6A879D09-4E04-4F4F-A80E-77F96C650DD2}"/>
    <cellStyle name="Normal 2 4 2 4 2 2 3 2 3" xfId="12765" xr:uid="{F3BBA679-4345-42A9-AA2F-C7F210E90010}"/>
    <cellStyle name="Normal 2 4 2 4 2 2 3 3" xfId="5511" xr:uid="{00000000-0005-0000-0000-0000400F0000}"/>
    <cellStyle name="Normal 2 4 2 4 2 2 3 3 2" xfId="14837" xr:uid="{08E38230-B35E-42E9-8083-7AC253344CA2}"/>
    <cellStyle name="Normal 2 4 2 4 2 2 3 4" xfId="10620" xr:uid="{851A9BFF-8F08-4F45-BAB2-C68FB1F7B0B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8CD3E6FF-253E-41E4-8E3C-66F20BE64E4C}"/>
    <cellStyle name="Normal 2 4 2 4 2 2 4 2 3" xfId="13178" xr:uid="{72F44421-18A5-40D1-911C-F8C2028B68E4}"/>
    <cellStyle name="Normal 2 4 2 4 2 2 4 3" xfId="5924" xr:uid="{00000000-0005-0000-0000-0000440F0000}"/>
    <cellStyle name="Normal 2 4 2 4 2 2 4 3 2" xfId="15250" xr:uid="{2FA6E9B4-E312-43EB-980B-27D79007FF72}"/>
    <cellStyle name="Normal 2 4 2 4 2 2 4 4" xfId="11033" xr:uid="{0DA57C26-4EF7-4103-9A60-E380775DB8AA}"/>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7EF1DC48-8B09-4D7B-B473-35343FC20CA0}"/>
    <cellStyle name="Normal 2 4 2 4 2 2 5 2 3" xfId="13591" xr:uid="{05B69FD1-CEDB-4D59-8126-D40A45CEAF2B}"/>
    <cellStyle name="Normal 2 4 2 4 2 2 5 3" xfId="6337" xr:uid="{00000000-0005-0000-0000-0000480F0000}"/>
    <cellStyle name="Normal 2 4 2 4 2 2 5 3 2" xfId="15663" xr:uid="{9D15993E-961C-4EB5-AEC5-02C5319EBA96}"/>
    <cellStyle name="Normal 2 4 2 4 2 2 5 4" xfId="11446" xr:uid="{67C1BB69-8628-45DE-8DE8-C1771CDDCD00}"/>
    <cellStyle name="Normal 2 4 2 4 2 2 6" xfId="2467" xr:uid="{00000000-0005-0000-0000-0000490F0000}"/>
    <cellStyle name="Normal 2 4 2 4 2 2 6 2" xfId="6750" xr:uid="{00000000-0005-0000-0000-00004A0F0000}"/>
    <cellStyle name="Normal 2 4 2 4 2 2 6 2 2" xfId="16076" xr:uid="{1AA30F25-CA04-40F4-955C-9E1294B5DECE}"/>
    <cellStyle name="Normal 2 4 2 4 2 2 6 3" xfId="11859" xr:uid="{3AB20EC7-CBE2-4FEC-85F9-F8E573083AFC}"/>
    <cellStyle name="Normal 2 4 2 4 2 2 7" xfId="4684" xr:uid="{00000000-0005-0000-0000-00004B0F0000}"/>
    <cellStyle name="Normal 2 4 2 4 2 2 7 2" xfId="14010" xr:uid="{8F77FDB0-8A2A-459F-9C89-4326F975F2C8}"/>
    <cellStyle name="Normal 2 4 2 4 2 2 8" xfId="9122" xr:uid="{861CB008-611F-4F3F-9D09-5BCA5A4CB255}"/>
    <cellStyle name="Normal 2 4 2 4 2 2 8 2" xfId="18446" xr:uid="{8B524454-4360-4C8D-8272-7EC107D856CA}"/>
    <cellStyle name="Normal 2 4 2 4 2 2 9" xfId="9793" xr:uid="{0D020C45-F5C6-4751-92D6-7A8C750BE58D}"/>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A1A272BB-5239-4BE6-9354-84F9D35BD17D}"/>
    <cellStyle name="Normal 2 4 2 4 2 3 2 3" xfId="12351" xr:uid="{2A6F4A21-A06E-46EA-84D9-5EE0F5AE532A}"/>
    <cellStyle name="Normal 2 4 2 4 2 3 3" xfId="5097" xr:uid="{00000000-0005-0000-0000-00004F0F0000}"/>
    <cellStyle name="Normal 2 4 2 4 2 3 3 2" xfId="14423" xr:uid="{25E7C74C-A47E-4959-B362-3FA1EAFF6E59}"/>
    <cellStyle name="Normal 2 4 2 4 2 3 4" xfId="9340" xr:uid="{2D1F2F91-F6E8-42AC-98D0-B8667E0ECE37}"/>
    <cellStyle name="Normal 2 4 2 4 2 3 4 2" xfId="18655" xr:uid="{BDC93BB5-0F23-46AD-8927-7F62D0330012}"/>
    <cellStyle name="Normal 2 4 2 4 2 3 5" xfId="10206" xr:uid="{B205EB0A-6AAB-4C50-B467-EE44C59F2C1F}"/>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DC8CBCB9-2367-4584-A15D-FAC3B2AA3317}"/>
    <cellStyle name="Normal 2 4 2 4 2 4 2 3" xfId="12764" xr:uid="{97C3B97D-920C-47BD-991F-8EE6FFA78A15}"/>
    <cellStyle name="Normal 2 4 2 4 2 4 3" xfId="5510" xr:uid="{00000000-0005-0000-0000-0000530F0000}"/>
    <cellStyle name="Normal 2 4 2 4 2 4 3 2" xfId="14836" xr:uid="{ADE582FC-EE5D-47A0-B54D-052F3FE681FC}"/>
    <cellStyle name="Normal 2 4 2 4 2 4 4" xfId="10619" xr:uid="{9C4F2D85-8875-4101-8C6B-810D5A57F92A}"/>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2491FC36-1603-4C33-836B-B1292449A5C2}"/>
    <cellStyle name="Normal 2 4 2 4 2 5 2 3" xfId="13177" xr:uid="{F18821FE-AD2E-4154-B7B2-C5951E5BC7CA}"/>
    <cellStyle name="Normal 2 4 2 4 2 5 3" xfId="5923" xr:uid="{00000000-0005-0000-0000-0000570F0000}"/>
    <cellStyle name="Normal 2 4 2 4 2 5 3 2" xfId="15249" xr:uid="{AC05690B-5025-4D91-80F9-53E6E669284C}"/>
    <cellStyle name="Normal 2 4 2 4 2 5 4" xfId="11032" xr:uid="{4B442B5B-6B24-44AB-8789-5461D894962A}"/>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98C2A1BC-686D-44AC-899E-5B6FF127C4A4}"/>
    <cellStyle name="Normal 2 4 2 4 2 6 2 3" xfId="13590" xr:uid="{192B7F31-90CA-4191-9EC9-C7CCE7D27245}"/>
    <cellStyle name="Normal 2 4 2 4 2 6 3" xfId="6336" xr:uid="{00000000-0005-0000-0000-00005B0F0000}"/>
    <cellStyle name="Normal 2 4 2 4 2 6 3 2" xfId="15662" xr:uid="{31B93890-C7D9-4AE2-8974-0669D870BB37}"/>
    <cellStyle name="Normal 2 4 2 4 2 6 4" xfId="11445" xr:uid="{84D2228E-B74C-4A16-B545-AA4F07C81F56}"/>
    <cellStyle name="Normal 2 4 2 4 2 7" xfId="2466" xr:uid="{00000000-0005-0000-0000-00005C0F0000}"/>
    <cellStyle name="Normal 2 4 2 4 2 7 2" xfId="6749" xr:uid="{00000000-0005-0000-0000-00005D0F0000}"/>
    <cellStyle name="Normal 2 4 2 4 2 7 2 2" xfId="16075" xr:uid="{6EBE6FC4-4831-49C4-A0D8-B74FE1B5D1CF}"/>
    <cellStyle name="Normal 2 4 2 4 2 7 3" xfId="11858" xr:uid="{F52B48BD-B98A-47B1-983A-400622E2F2BE}"/>
    <cellStyle name="Normal 2 4 2 4 2 8" xfId="4683" xr:uid="{00000000-0005-0000-0000-00005E0F0000}"/>
    <cellStyle name="Normal 2 4 2 4 2 8 2" xfId="14009" xr:uid="{8F49152C-0320-4AB4-97A8-61A23D597AC2}"/>
    <cellStyle name="Normal 2 4 2 4 2 9" xfId="8915" xr:uid="{2BEB15AA-2AFA-47D4-AC0E-63DAF2CFE119}"/>
    <cellStyle name="Normal 2 4 2 4 2 9 2" xfId="18239" xr:uid="{5C1FFA60-FB17-4671-9A50-72443F13914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ED90193B-E99F-4B28-9AF6-1522320215AD}"/>
    <cellStyle name="Normal 2 4 2 4 3 2 2 3" xfId="12353" xr:uid="{4855A5B0-2882-45C8-9CB9-CD89E6861A87}"/>
    <cellStyle name="Normal 2 4 2 4 3 2 3" xfId="5099" xr:uid="{00000000-0005-0000-0000-0000630F0000}"/>
    <cellStyle name="Normal 2 4 2 4 3 2 3 2" xfId="14425" xr:uid="{E6948668-8D6E-43BD-B946-5D3B07E397C5}"/>
    <cellStyle name="Normal 2 4 2 4 3 2 4" xfId="9444" xr:uid="{807939DF-E7C0-4015-A3D8-AE9E56020172}"/>
    <cellStyle name="Normal 2 4 2 4 3 2 4 2" xfId="18759" xr:uid="{FCB55FD0-55E6-4B7E-871D-51ACF371C945}"/>
    <cellStyle name="Normal 2 4 2 4 3 2 5" xfId="10208" xr:uid="{819E2BCA-5D2E-4619-8A7C-C1F67528B9E9}"/>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830F0114-03A9-43C6-8AF2-16A0648368E5}"/>
    <cellStyle name="Normal 2 4 2 4 3 3 2 3" xfId="12766" xr:uid="{41D6A092-A5D4-4B43-89BE-30867E505A61}"/>
    <cellStyle name="Normal 2 4 2 4 3 3 3" xfId="5512" xr:uid="{00000000-0005-0000-0000-0000670F0000}"/>
    <cellStyle name="Normal 2 4 2 4 3 3 3 2" xfId="14838" xr:uid="{7BE2C417-F499-49FF-9549-ED409AD1A65A}"/>
    <cellStyle name="Normal 2 4 2 4 3 3 4" xfId="10621" xr:uid="{553A0CD2-E658-4EB8-9C0E-EF512995EE06}"/>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0B6B4AC0-B5D0-42B1-B65A-FD0BCCE1375B}"/>
    <cellStyle name="Normal 2 4 2 4 3 4 2 3" xfId="13179" xr:uid="{E98E227E-E347-4695-80E7-65BD702DBEA6}"/>
    <cellStyle name="Normal 2 4 2 4 3 4 3" xfId="5925" xr:uid="{00000000-0005-0000-0000-00006B0F0000}"/>
    <cellStyle name="Normal 2 4 2 4 3 4 3 2" xfId="15251" xr:uid="{17047762-BC53-4BA6-BB74-D6BD5BC9C037}"/>
    <cellStyle name="Normal 2 4 2 4 3 4 4" xfId="11034" xr:uid="{6EF91AFA-7E4E-41D0-BBB3-2E6CB4E5A00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94673F6C-0AD6-49E9-A2F0-E999B95634CA}"/>
    <cellStyle name="Normal 2 4 2 4 3 5 2 3" xfId="13592" xr:uid="{5CE9B63E-92CB-4B66-AE4C-9C0F2A91B9E7}"/>
    <cellStyle name="Normal 2 4 2 4 3 5 3" xfId="6338" xr:uid="{00000000-0005-0000-0000-00006F0F0000}"/>
    <cellStyle name="Normal 2 4 2 4 3 5 3 2" xfId="15664" xr:uid="{97DB08EF-9800-4DF2-B28B-F5D2529DDEA2}"/>
    <cellStyle name="Normal 2 4 2 4 3 5 4" xfId="11447" xr:uid="{1F27F7F6-D910-43DC-9424-15CAA645CF9B}"/>
    <cellStyle name="Normal 2 4 2 4 3 6" xfId="2468" xr:uid="{00000000-0005-0000-0000-0000700F0000}"/>
    <cellStyle name="Normal 2 4 2 4 3 6 2" xfId="6751" xr:uid="{00000000-0005-0000-0000-0000710F0000}"/>
    <cellStyle name="Normal 2 4 2 4 3 6 2 2" xfId="16077" xr:uid="{1C8CD70A-E940-489E-BE00-52A027251220}"/>
    <cellStyle name="Normal 2 4 2 4 3 6 3" xfId="11860" xr:uid="{700E0347-1699-4BCD-BFD5-10C09CB4848D}"/>
    <cellStyle name="Normal 2 4 2 4 3 7" xfId="4685" xr:uid="{00000000-0005-0000-0000-0000720F0000}"/>
    <cellStyle name="Normal 2 4 2 4 3 7 2" xfId="14011" xr:uid="{45CEEE77-0F95-4F2C-B0D1-B7E95E6B7040}"/>
    <cellStyle name="Normal 2 4 2 4 3 8" xfId="9019" xr:uid="{1F22810F-FF7D-4FF4-861A-F2BA8F253428}"/>
    <cellStyle name="Normal 2 4 2 4 3 8 2" xfId="18343" xr:uid="{47A3AC50-7C36-4EDA-9A62-BE8061D3010F}"/>
    <cellStyle name="Normal 2 4 2 4 3 9" xfId="9794" xr:uid="{18A55582-A500-4A26-A214-5331E773071A}"/>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01975022-5F89-43E2-A47D-850A50648F85}"/>
    <cellStyle name="Normal 2 4 2 4 4 2 3" xfId="12350" xr:uid="{44F2CF01-014A-4030-A358-EA706DC7CC42}"/>
    <cellStyle name="Normal 2 4 2 4 4 3" xfId="5096" xr:uid="{00000000-0005-0000-0000-0000760F0000}"/>
    <cellStyle name="Normal 2 4 2 4 4 3 2" xfId="14422" xr:uid="{0AF5E862-5CEF-418A-AAB8-E6A9A85F1B3B}"/>
    <cellStyle name="Normal 2 4 2 4 4 4" xfId="9237" xr:uid="{FF4B133D-A40B-4895-9E3D-E727B18E66C8}"/>
    <cellStyle name="Normal 2 4 2 4 4 4 2" xfId="18552" xr:uid="{D7B5BADD-10D4-4653-8116-2CBDA6DA2ED7}"/>
    <cellStyle name="Normal 2 4 2 4 4 5" xfId="10205" xr:uid="{5AE9C930-8462-4A63-A582-27A4F1AF68C6}"/>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D5635BEE-3D8B-4697-9582-0F3F0050DE6A}"/>
    <cellStyle name="Normal 2 4 2 4 5 2 3" xfId="12763" xr:uid="{981E2C29-4DDD-496D-9F7D-7F49C81CD505}"/>
    <cellStyle name="Normal 2 4 2 4 5 3" xfId="5509" xr:uid="{00000000-0005-0000-0000-00007A0F0000}"/>
    <cellStyle name="Normal 2 4 2 4 5 3 2" xfId="14835" xr:uid="{BC02D6AD-71DB-4FA1-9743-BC575CCC4F51}"/>
    <cellStyle name="Normal 2 4 2 4 5 4" xfId="10618" xr:uid="{0D772E10-0F13-4E37-98EE-9348A43FC67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64ED9D7A-885F-4D10-B429-F025A4257A6E}"/>
    <cellStyle name="Normal 2 4 2 4 6 2 3" xfId="13176" xr:uid="{941F05E7-928B-4ADF-BC21-B548B293592E}"/>
    <cellStyle name="Normal 2 4 2 4 6 3" xfId="5922" xr:uid="{00000000-0005-0000-0000-00007E0F0000}"/>
    <cellStyle name="Normal 2 4 2 4 6 3 2" xfId="15248" xr:uid="{C91518EB-5FCD-41DD-BD27-427075CA4E8E}"/>
    <cellStyle name="Normal 2 4 2 4 6 4" xfId="11031" xr:uid="{480E9393-8BC9-419E-9A87-C4877184F474}"/>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29ADEAA0-979B-4B4A-937B-4CBA22F9FDB6}"/>
    <cellStyle name="Normal 2 4 2 4 7 2 3" xfId="13589" xr:uid="{3FA9DDF1-C756-4FE5-B490-5A1E5676A6C2}"/>
    <cellStyle name="Normal 2 4 2 4 7 3" xfId="6335" xr:uid="{00000000-0005-0000-0000-0000820F0000}"/>
    <cellStyle name="Normal 2 4 2 4 7 3 2" xfId="15661" xr:uid="{B7F43BA6-53A4-43A3-9DA2-CEA1D219496D}"/>
    <cellStyle name="Normal 2 4 2 4 7 4" xfId="11444" xr:uid="{860264FC-C5A0-4AFF-B25C-8F383D64C552}"/>
    <cellStyle name="Normal 2 4 2 4 8" xfId="2465" xr:uid="{00000000-0005-0000-0000-0000830F0000}"/>
    <cellStyle name="Normal 2 4 2 4 8 2" xfId="6748" xr:uid="{00000000-0005-0000-0000-0000840F0000}"/>
    <cellStyle name="Normal 2 4 2 4 8 2 2" xfId="16074" xr:uid="{247517E6-EA92-481D-8197-13EABF0F95AC}"/>
    <cellStyle name="Normal 2 4 2 4 8 3" xfId="11857" xr:uid="{2114D9A4-44E6-46FB-B00B-4C2D646E9309}"/>
    <cellStyle name="Normal 2 4 2 4 9" xfId="4682" xr:uid="{00000000-0005-0000-0000-0000850F0000}"/>
    <cellStyle name="Normal 2 4 2 4 9 2" xfId="14008" xr:uid="{AD18A2C7-B91A-4101-B5F0-154F71A72BC0}"/>
    <cellStyle name="Normal 2 4 2 5" xfId="293" xr:uid="{00000000-0005-0000-0000-0000860F0000}"/>
    <cellStyle name="Normal 2 4 2 5 10" xfId="9795" xr:uid="{741CD8C0-30DE-45C0-8071-0F452BF41632}"/>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5AA54B73-6CB2-4605-858D-44EEE6F580C7}"/>
    <cellStyle name="Normal 2 4 2 5 2 2 2 3" xfId="12355" xr:uid="{6D67259F-1DB8-49EF-9CF0-611FB73B8BC5}"/>
    <cellStyle name="Normal 2 4 2 5 2 2 3" xfId="5101" xr:uid="{00000000-0005-0000-0000-00008B0F0000}"/>
    <cellStyle name="Normal 2 4 2 5 2 2 3 2" xfId="14427" xr:uid="{89C52E81-8404-4B77-8545-AE8C97A5A860}"/>
    <cellStyle name="Normal 2 4 2 5 2 2 4" xfId="9492" xr:uid="{07DC9204-2F52-408E-80EE-617A106DD9FD}"/>
    <cellStyle name="Normal 2 4 2 5 2 2 4 2" xfId="18807" xr:uid="{B2EF2A13-FBCC-4B0E-8222-0535D929111B}"/>
    <cellStyle name="Normal 2 4 2 5 2 2 5" xfId="10210" xr:uid="{37D05333-B838-46F2-B525-C07254BB2B9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702E45BF-BB85-430F-A17D-3B3535A6DE1E}"/>
    <cellStyle name="Normal 2 4 2 5 2 3 2 3" xfId="12768" xr:uid="{769E1752-25D3-49AD-B1D4-888B82399177}"/>
    <cellStyle name="Normal 2 4 2 5 2 3 3" xfId="5514" xr:uid="{00000000-0005-0000-0000-00008F0F0000}"/>
    <cellStyle name="Normal 2 4 2 5 2 3 3 2" xfId="14840" xr:uid="{81EC11D5-EDE0-493B-B767-F11509F8C10E}"/>
    <cellStyle name="Normal 2 4 2 5 2 3 4" xfId="10623" xr:uid="{0F44F12C-D84F-4EAC-A11F-15842A2D65DA}"/>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1AB87AF1-ACA3-41CA-A355-26B41386491A}"/>
    <cellStyle name="Normal 2 4 2 5 2 4 2 3" xfId="13181" xr:uid="{4D66E880-771B-46B7-84B0-B0D6645E9F0A}"/>
    <cellStyle name="Normal 2 4 2 5 2 4 3" xfId="5927" xr:uid="{00000000-0005-0000-0000-0000930F0000}"/>
    <cellStyle name="Normal 2 4 2 5 2 4 3 2" xfId="15253" xr:uid="{15EB78B3-6147-4F20-98C1-20889E4A6C89}"/>
    <cellStyle name="Normal 2 4 2 5 2 4 4" xfId="11036" xr:uid="{9DACBBF9-4D1E-412F-B928-0485EA52C30E}"/>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B03AD197-95C1-440F-9C83-BF50C787B409}"/>
    <cellStyle name="Normal 2 4 2 5 2 5 2 3" xfId="13594" xr:uid="{FD6A89FE-3BAE-49EA-8C1B-A198B33D69B3}"/>
    <cellStyle name="Normal 2 4 2 5 2 5 3" xfId="6340" xr:uid="{00000000-0005-0000-0000-0000970F0000}"/>
    <cellStyle name="Normal 2 4 2 5 2 5 3 2" xfId="15666" xr:uid="{4531C869-359F-47F7-8CB6-EE51E03204D5}"/>
    <cellStyle name="Normal 2 4 2 5 2 5 4" xfId="11449" xr:uid="{C7160760-120A-44C5-98E6-4BAB82D2392E}"/>
    <cellStyle name="Normal 2 4 2 5 2 6" xfId="2470" xr:uid="{00000000-0005-0000-0000-0000980F0000}"/>
    <cellStyle name="Normal 2 4 2 5 2 6 2" xfId="6753" xr:uid="{00000000-0005-0000-0000-0000990F0000}"/>
    <cellStyle name="Normal 2 4 2 5 2 6 2 2" xfId="16079" xr:uid="{316D28E3-E72D-470C-B448-06C0823D771A}"/>
    <cellStyle name="Normal 2 4 2 5 2 6 3" xfId="11862" xr:uid="{54228202-18C2-4CCA-A306-6B0C79AA580D}"/>
    <cellStyle name="Normal 2 4 2 5 2 7" xfId="4687" xr:uid="{00000000-0005-0000-0000-00009A0F0000}"/>
    <cellStyle name="Normal 2 4 2 5 2 7 2" xfId="14013" xr:uid="{F9407E15-EAAF-41FF-8291-30B74C83C033}"/>
    <cellStyle name="Normal 2 4 2 5 2 8" xfId="9067" xr:uid="{89D5CB5A-ADE0-44B8-BC1E-FDE984B579C9}"/>
    <cellStyle name="Normal 2 4 2 5 2 8 2" xfId="18391" xr:uid="{C816C9B0-69CF-4B68-B06A-B30F55ED73D8}"/>
    <cellStyle name="Normal 2 4 2 5 2 9" xfId="9796" xr:uid="{D2ABCBBD-30FB-4D8E-9DA0-B4A388DCE39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25DC4CB9-738C-4BF6-BDB8-D6C97BFC715E}"/>
    <cellStyle name="Normal 2 4 2 5 3 2 3" xfId="12354" xr:uid="{A155E41F-D908-4EA6-8E95-298CADBC364F}"/>
    <cellStyle name="Normal 2 4 2 5 3 3" xfId="5100" xr:uid="{00000000-0005-0000-0000-00009E0F0000}"/>
    <cellStyle name="Normal 2 4 2 5 3 3 2" xfId="14426" xr:uid="{E6277237-1715-48DF-A55D-766494CCD0F7}"/>
    <cellStyle name="Normal 2 4 2 5 3 4" xfId="9285" xr:uid="{5DA39FB9-904E-46D3-8E24-58BF2F19DA5B}"/>
    <cellStyle name="Normal 2 4 2 5 3 4 2" xfId="18600" xr:uid="{6BE127A1-F9B4-47BD-B89F-66A2FF5EDD95}"/>
    <cellStyle name="Normal 2 4 2 5 3 5" xfId="10209" xr:uid="{26F700B2-B50E-4044-AC2E-C7C4C15F9CB4}"/>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DDD427BC-0EB4-49C5-9FAC-43ED22FA9CB3}"/>
    <cellStyle name="Normal 2 4 2 5 4 2 3" xfId="12767" xr:uid="{67C89C47-E0AA-499E-8D06-07BB8CFB611B}"/>
    <cellStyle name="Normal 2 4 2 5 4 3" xfId="5513" xr:uid="{00000000-0005-0000-0000-0000A20F0000}"/>
    <cellStyle name="Normal 2 4 2 5 4 3 2" xfId="14839" xr:uid="{B3165AD0-6AD0-4351-A522-A6A2484D118B}"/>
    <cellStyle name="Normal 2 4 2 5 4 4" xfId="10622" xr:uid="{CE4E1A63-35A5-4FAD-8791-D78BFF64A8D2}"/>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C9CC0D1A-72F5-4CA0-B27D-F026EF51E7DD}"/>
    <cellStyle name="Normal 2 4 2 5 5 2 3" xfId="13180" xr:uid="{BBB22C10-12AF-4E24-81FE-9AFA83A34D13}"/>
    <cellStyle name="Normal 2 4 2 5 5 3" xfId="5926" xr:uid="{00000000-0005-0000-0000-0000A60F0000}"/>
    <cellStyle name="Normal 2 4 2 5 5 3 2" xfId="15252" xr:uid="{5D3AB37E-191A-4B74-A2E3-CBA69FC5866C}"/>
    <cellStyle name="Normal 2 4 2 5 5 4" xfId="11035" xr:uid="{027A9D67-C214-4F23-B2C9-4586803DACED}"/>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E7DFE2AA-6C3C-4D48-A5F6-6F11F86C2888}"/>
    <cellStyle name="Normal 2 4 2 5 6 2 3" xfId="13593" xr:uid="{50EF1FE5-B4BD-4AD0-8D95-3AB70E8173D0}"/>
    <cellStyle name="Normal 2 4 2 5 6 3" xfId="6339" xr:uid="{00000000-0005-0000-0000-0000AA0F0000}"/>
    <cellStyle name="Normal 2 4 2 5 6 3 2" xfId="15665" xr:uid="{CD0709E1-CDD2-41DF-B6B5-282DA66CD34D}"/>
    <cellStyle name="Normal 2 4 2 5 6 4" xfId="11448" xr:uid="{872D311C-EC20-4623-806B-A2F4D9654136}"/>
    <cellStyle name="Normal 2 4 2 5 7" xfId="2469" xr:uid="{00000000-0005-0000-0000-0000AB0F0000}"/>
    <cellStyle name="Normal 2 4 2 5 7 2" xfId="6752" xr:uid="{00000000-0005-0000-0000-0000AC0F0000}"/>
    <cellStyle name="Normal 2 4 2 5 7 2 2" xfId="16078" xr:uid="{6D7A0099-ACBD-467D-88B9-02497276441D}"/>
    <cellStyle name="Normal 2 4 2 5 7 3" xfId="11861" xr:uid="{F3AEC485-A58D-49CA-8991-28D1C7FECA65}"/>
    <cellStyle name="Normal 2 4 2 5 8" xfId="4686" xr:uid="{00000000-0005-0000-0000-0000AD0F0000}"/>
    <cellStyle name="Normal 2 4 2 5 8 2" xfId="14012" xr:uid="{92319158-715D-4B99-B38C-18B842873B2D}"/>
    <cellStyle name="Normal 2 4 2 5 9" xfId="8860" xr:uid="{5FAFEFC0-3249-464B-9F12-2B1DA137C588}"/>
    <cellStyle name="Normal 2 4 2 5 9 2" xfId="18184" xr:uid="{8A2FDEB2-C891-4563-B907-8418A10F96DC}"/>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FEF7FAB5-E1FA-45F3-8501-6C996D2EE900}"/>
    <cellStyle name="Normal 2 4 2 6 2 2 3" xfId="12356" xr:uid="{F5EC9DA3-F2D2-4D30-9E9F-442674EBF5E5}"/>
    <cellStyle name="Normal 2 4 2 6 2 3" xfId="5102" xr:uid="{00000000-0005-0000-0000-0000B20F0000}"/>
    <cellStyle name="Normal 2 4 2 6 2 3 2" xfId="14428" xr:uid="{A67E6824-9044-4A60-80D4-89792EFD4EC6}"/>
    <cellStyle name="Normal 2 4 2 6 2 4" xfId="9401" xr:uid="{C89DD342-23DD-474B-84C5-F9DED42F169B}"/>
    <cellStyle name="Normal 2 4 2 6 2 4 2" xfId="18716" xr:uid="{7458BD47-2DBA-4A92-9506-7749D89901DB}"/>
    <cellStyle name="Normal 2 4 2 6 2 5" xfId="10211" xr:uid="{C1C7E5F7-D916-4E49-8AF8-DCB1023B4FE4}"/>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15E423F9-7384-4749-B679-29A5C0D57E90}"/>
    <cellStyle name="Normal 2 4 2 6 3 2 3" xfId="12769" xr:uid="{E76C0732-2A33-4FF1-9A04-3783D90249CD}"/>
    <cellStyle name="Normal 2 4 2 6 3 3" xfId="5515" xr:uid="{00000000-0005-0000-0000-0000B60F0000}"/>
    <cellStyle name="Normal 2 4 2 6 3 3 2" xfId="14841" xr:uid="{22F16C48-DBDE-4111-9D28-B231CA54054B}"/>
    <cellStyle name="Normal 2 4 2 6 3 4" xfId="10624" xr:uid="{8B0BDC3C-62E0-4B39-AF9E-7890DAFF4C8C}"/>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1D95644D-0834-46E4-B5B3-FDA126826471}"/>
    <cellStyle name="Normal 2 4 2 6 4 2 3" xfId="13182" xr:uid="{42207B26-7B8B-42A0-AFD1-8E7F576EDE30}"/>
    <cellStyle name="Normal 2 4 2 6 4 3" xfId="5928" xr:uid="{00000000-0005-0000-0000-0000BA0F0000}"/>
    <cellStyle name="Normal 2 4 2 6 4 3 2" xfId="15254" xr:uid="{EDEBFDCE-6FEB-41CA-9BD3-BCE668419904}"/>
    <cellStyle name="Normal 2 4 2 6 4 4" xfId="11037" xr:uid="{B122904D-AE3D-4751-A6B0-E44C6CE99CF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24293132-A199-4475-B391-1A2C77769141}"/>
    <cellStyle name="Normal 2 4 2 6 5 2 3" xfId="13595" xr:uid="{DA8B9F3D-233D-4D75-B504-2360A6B91FB7}"/>
    <cellStyle name="Normal 2 4 2 6 5 3" xfId="6341" xr:uid="{00000000-0005-0000-0000-0000BE0F0000}"/>
    <cellStyle name="Normal 2 4 2 6 5 3 2" xfId="15667" xr:uid="{F4962D2A-6729-4537-8433-236852666632}"/>
    <cellStyle name="Normal 2 4 2 6 5 4" xfId="11450" xr:uid="{8E8298A4-81BB-4E45-8697-A10738E1BFF6}"/>
    <cellStyle name="Normal 2 4 2 6 6" xfId="2471" xr:uid="{00000000-0005-0000-0000-0000BF0F0000}"/>
    <cellStyle name="Normal 2 4 2 6 6 2" xfId="6754" xr:uid="{00000000-0005-0000-0000-0000C00F0000}"/>
    <cellStyle name="Normal 2 4 2 6 6 2 2" xfId="16080" xr:uid="{9BC96F01-387C-49D0-8E81-87A880DC996E}"/>
    <cellStyle name="Normal 2 4 2 6 6 3" xfId="11863" xr:uid="{4F94034A-66AC-4BFD-ADD8-399DC97140F3}"/>
    <cellStyle name="Normal 2 4 2 6 7" xfId="4688" xr:uid="{00000000-0005-0000-0000-0000C10F0000}"/>
    <cellStyle name="Normal 2 4 2 6 7 2" xfId="14014" xr:uid="{B55B5BA2-B74A-4260-BD13-40D749FE2A5F}"/>
    <cellStyle name="Normal 2 4 2 6 8" xfId="8976" xr:uid="{6DEAFF8C-68CB-4364-A161-479509F453AE}"/>
    <cellStyle name="Normal 2 4 2 6 8 2" xfId="18300" xr:uid="{DE30D729-0D33-4653-9B02-9C9508C03A0B}"/>
    <cellStyle name="Normal 2 4 2 6 9" xfId="9797" xr:uid="{9FF71507-A628-4D15-BEDF-D1F2C3FF1BF4}"/>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372875B6-BC02-4A82-8CC8-3EE087897FAA}"/>
    <cellStyle name="Normal 2 4 2 7 2 3" xfId="12341" xr:uid="{30F9FD32-ABF9-4B8B-A7A0-FE862E9A1C47}"/>
    <cellStyle name="Normal 2 4 2 7 3" xfId="5087" xr:uid="{00000000-0005-0000-0000-0000C50F0000}"/>
    <cellStyle name="Normal 2 4 2 7 3 2" xfId="14413" xr:uid="{192187EC-6268-4DCB-A7AA-E645D132A0BF}"/>
    <cellStyle name="Normal 2 4 2 7 4" xfId="9179" xr:uid="{D1C44CED-398E-43B3-AFA3-1E7DC60C5D92}"/>
    <cellStyle name="Normal 2 4 2 7 4 2" xfId="18497" xr:uid="{C1E85B93-B5BE-4083-B4B8-114415A923F4}"/>
    <cellStyle name="Normal 2 4 2 7 5" xfId="10196" xr:uid="{14F2D0DB-4B62-4FA2-94AD-DC41B039562D}"/>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CDCA082F-1784-4ED9-B6A6-36D4848F22C7}"/>
    <cellStyle name="Normal 2 4 2 8 2 3" xfId="12754" xr:uid="{00DBC690-02DE-48AA-A4D0-5DC2B3F718EF}"/>
    <cellStyle name="Normal 2 4 2 8 3" xfId="5500" xr:uid="{00000000-0005-0000-0000-0000C90F0000}"/>
    <cellStyle name="Normal 2 4 2 8 3 2" xfId="14826" xr:uid="{4C741B4A-AF13-4304-8263-BB03C5C56F52}"/>
    <cellStyle name="Normal 2 4 2 8 4" xfId="10609" xr:uid="{B208206E-9122-4F21-B3C8-D8365466F342}"/>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C91142C7-6334-4A82-B679-115387ACABAE}"/>
    <cellStyle name="Normal 2 4 2 9 2 3" xfId="13167" xr:uid="{0A5D2128-F2BE-4C28-81DE-FA15C8940F96}"/>
    <cellStyle name="Normal 2 4 2 9 3" xfId="5913" xr:uid="{00000000-0005-0000-0000-0000CD0F0000}"/>
    <cellStyle name="Normal 2 4 2 9 3 2" xfId="15239" xr:uid="{9F57BDD9-E852-44A9-83DF-6043950E844D}"/>
    <cellStyle name="Normal 2 4 2 9 4" xfId="11022" xr:uid="{BF71CB4C-9E74-4382-BD7E-774BADA2DD70}"/>
    <cellStyle name="Normal 2 4 3" xfId="296" xr:uid="{00000000-0005-0000-0000-0000CE0F0000}"/>
    <cellStyle name="Normal 2 4 3 10" xfId="9798" xr:uid="{59F722A9-E5D7-4A28-8958-04592B8526F1}"/>
    <cellStyle name="Normal 2 4 3 2" xfId="297" xr:uid="{00000000-0005-0000-0000-0000CF0F0000}"/>
    <cellStyle name="Normal 2 4 3 3" xfId="298" xr:uid="{00000000-0005-0000-0000-0000D00F0000}"/>
    <cellStyle name="Normal 2 4 3 3 10" xfId="8814" xr:uid="{F78EFD99-FCC5-4915-ACA3-DFC3FC0D45A5}"/>
    <cellStyle name="Normal 2 4 3 3 10 2" xfId="18138" xr:uid="{7BFE5222-2652-455E-827F-850E41997486}"/>
    <cellStyle name="Normal 2 4 3 3 11" xfId="9799" xr:uid="{A86F503E-59F8-4BFD-A250-B80A9A47E4D1}"/>
    <cellStyle name="Normal 2 4 3 3 2" xfId="299" xr:uid="{00000000-0005-0000-0000-0000D10F0000}"/>
    <cellStyle name="Normal 2 4 3 3 2 10" xfId="9800" xr:uid="{2D80C872-EC2D-4C23-AE14-E974B27A6049}"/>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E36C3824-7C01-40A3-994B-2332E4A5812D}"/>
    <cellStyle name="Normal 2 4 3 3 2 2 2 2 3" xfId="12360" xr:uid="{580C3A59-54D0-4681-A466-2F0BE49844D8}"/>
    <cellStyle name="Normal 2 4 3 3 2 2 2 3" xfId="5106" xr:uid="{00000000-0005-0000-0000-0000D60F0000}"/>
    <cellStyle name="Normal 2 4 3 3 2 2 2 3 2" xfId="14432" xr:uid="{71CE3210-CBE1-4821-9F22-E190C5D985D9}"/>
    <cellStyle name="Normal 2 4 3 3 2 2 2 4" xfId="9549" xr:uid="{EA88B7BC-E37D-4688-A768-0D7FE5EF9F42}"/>
    <cellStyle name="Normal 2 4 3 3 2 2 2 4 2" xfId="18864" xr:uid="{45618906-CE97-41D9-9D33-46B1D0C17122}"/>
    <cellStyle name="Normal 2 4 3 3 2 2 2 5" xfId="10215" xr:uid="{2C6D30E9-38C1-4B50-A2F7-2023C19159C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B1974DE7-D862-470D-ABA4-B48840C5ACBC}"/>
    <cellStyle name="Normal 2 4 3 3 2 2 3 2 3" xfId="12773" xr:uid="{F0261489-6D8E-4794-AB4B-63E338135D88}"/>
    <cellStyle name="Normal 2 4 3 3 2 2 3 3" xfId="5519" xr:uid="{00000000-0005-0000-0000-0000DA0F0000}"/>
    <cellStyle name="Normal 2 4 3 3 2 2 3 3 2" xfId="14845" xr:uid="{9686E84F-C876-401C-A7E0-A1A0589D2A84}"/>
    <cellStyle name="Normal 2 4 3 3 2 2 3 4" xfId="10628" xr:uid="{C80E490F-BEB2-4389-B8C4-B392D2D84C3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0AFF5F42-3440-4379-B521-FC6233E74579}"/>
    <cellStyle name="Normal 2 4 3 3 2 2 4 2 3" xfId="13186" xr:uid="{A9C5BDA1-BF29-4A6C-AFBA-EF18F6D3C6D9}"/>
    <cellStyle name="Normal 2 4 3 3 2 2 4 3" xfId="5932" xr:uid="{00000000-0005-0000-0000-0000DE0F0000}"/>
    <cellStyle name="Normal 2 4 3 3 2 2 4 3 2" xfId="15258" xr:uid="{B26213E0-910F-49FD-82B5-D033CDEA0362}"/>
    <cellStyle name="Normal 2 4 3 3 2 2 4 4" xfId="11041" xr:uid="{0C737469-B851-4FC7-B554-A7454F662744}"/>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44FB99D6-FED4-46D2-8C51-230B35B77DC6}"/>
    <cellStyle name="Normal 2 4 3 3 2 2 5 2 3" xfId="13599" xr:uid="{2166D5A5-EF57-4685-ABC6-6564DBE8BC5D}"/>
    <cellStyle name="Normal 2 4 3 3 2 2 5 3" xfId="6345" xr:uid="{00000000-0005-0000-0000-0000E20F0000}"/>
    <cellStyle name="Normal 2 4 3 3 2 2 5 3 2" xfId="15671" xr:uid="{4632F6C3-F8B7-49B3-BB68-3B1B3B03C92C}"/>
    <cellStyle name="Normal 2 4 3 3 2 2 5 4" xfId="11454" xr:uid="{9F5799CA-F4FC-4506-BDE5-FFF379CF1DDE}"/>
    <cellStyle name="Normal 2 4 3 3 2 2 6" xfId="2475" xr:uid="{00000000-0005-0000-0000-0000E30F0000}"/>
    <cellStyle name="Normal 2 4 3 3 2 2 6 2" xfId="6758" xr:uid="{00000000-0005-0000-0000-0000E40F0000}"/>
    <cellStyle name="Normal 2 4 3 3 2 2 6 2 2" xfId="16084" xr:uid="{991C0364-7880-4BED-A960-787C7D07F6FC}"/>
    <cellStyle name="Normal 2 4 3 3 2 2 6 3" xfId="11867" xr:uid="{104E7295-F48E-468F-AE4A-32ED552C96F0}"/>
    <cellStyle name="Normal 2 4 3 3 2 2 7" xfId="4692" xr:uid="{00000000-0005-0000-0000-0000E50F0000}"/>
    <cellStyle name="Normal 2 4 3 3 2 2 7 2" xfId="14018" xr:uid="{F97B36F4-9690-432D-AB51-32BA8485D5E2}"/>
    <cellStyle name="Normal 2 4 3 3 2 2 8" xfId="9124" xr:uid="{1FF2B195-09C8-4D7B-A363-E8AF809A669B}"/>
    <cellStyle name="Normal 2 4 3 3 2 2 8 2" xfId="18448" xr:uid="{CF44F860-8FDD-4748-B6CD-B4D904FF99FB}"/>
    <cellStyle name="Normal 2 4 3 3 2 2 9" xfId="9801" xr:uid="{803559C0-3603-4D4F-93A8-4816167589A1}"/>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898992A3-AD1A-4D26-BC73-91E77DF74047}"/>
    <cellStyle name="Normal 2 4 3 3 2 3 2 3" xfId="12359" xr:uid="{CCCBEA5E-FA17-4271-A14F-076930EA30D2}"/>
    <cellStyle name="Normal 2 4 3 3 2 3 3" xfId="5105" xr:uid="{00000000-0005-0000-0000-0000E90F0000}"/>
    <cellStyle name="Normal 2 4 3 3 2 3 3 2" xfId="14431" xr:uid="{AF9B498E-95C1-4E12-9525-5AC4C5E7509C}"/>
    <cellStyle name="Normal 2 4 3 3 2 3 4" xfId="9342" xr:uid="{41454CF9-47C1-4E8A-868A-8F39341308EB}"/>
    <cellStyle name="Normal 2 4 3 3 2 3 4 2" xfId="18657" xr:uid="{383E9A2A-98CF-4958-945F-A69888484763}"/>
    <cellStyle name="Normal 2 4 3 3 2 3 5" xfId="10214" xr:uid="{CC9B7064-78B8-40AB-84F3-A89F661C53E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48B7CD71-FD71-449D-90D7-B7A67B1370FD}"/>
    <cellStyle name="Normal 2 4 3 3 2 4 2 3" xfId="12772" xr:uid="{6C987634-ABB8-4211-A9EC-B21BF26B63C8}"/>
    <cellStyle name="Normal 2 4 3 3 2 4 3" xfId="5518" xr:uid="{00000000-0005-0000-0000-0000ED0F0000}"/>
    <cellStyle name="Normal 2 4 3 3 2 4 3 2" xfId="14844" xr:uid="{11745078-C27A-4D09-9721-6DD58B2EF416}"/>
    <cellStyle name="Normal 2 4 3 3 2 4 4" xfId="10627" xr:uid="{05CF4FCA-780C-4CB1-9B3E-46CBF09C1B35}"/>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1C570345-340D-4F75-8006-1F9AA87885FE}"/>
    <cellStyle name="Normal 2 4 3 3 2 5 2 3" xfId="13185" xr:uid="{25B33AA0-6418-465C-BBDB-1A97B0D649C2}"/>
    <cellStyle name="Normal 2 4 3 3 2 5 3" xfId="5931" xr:uid="{00000000-0005-0000-0000-0000F10F0000}"/>
    <cellStyle name="Normal 2 4 3 3 2 5 3 2" xfId="15257" xr:uid="{D74F0BD9-ACA6-4298-A7A1-71993A3CECB0}"/>
    <cellStyle name="Normal 2 4 3 3 2 5 4" xfId="11040" xr:uid="{82D3DC3D-2CA0-4F41-8690-3CE0BCC9E801}"/>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EAB92EC2-71E2-4E96-A5E1-E9B8A56B1804}"/>
    <cellStyle name="Normal 2 4 3 3 2 6 2 3" xfId="13598" xr:uid="{18BAEE13-E91A-49F0-9412-B0553C6B4D78}"/>
    <cellStyle name="Normal 2 4 3 3 2 6 3" xfId="6344" xr:uid="{00000000-0005-0000-0000-0000F50F0000}"/>
    <cellStyle name="Normal 2 4 3 3 2 6 3 2" xfId="15670" xr:uid="{ABC0BE5D-082E-44E1-A48C-E30A12A41AA3}"/>
    <cellStyle name="Normal 2 4 3 3 2 6 4" xfId="11453" xr:uid="{7F213002-914C-492D-A01C-7D706576C6E8}"/>
    <cellStyle name="Normal 2 4 3 3 2 7" xfId="2474" xr:uid="{00000000-0005-0000-0000-0000F60F0000}"/>
    <cellStyle name="Normal 2 4 3 3 2 7 2" xfId="6757" xr:uid="{00000000-0005-0000-0000-0000F70F0000}"/>
    <cellStyle name="Normal 2 4 3 3 2 7 2 2" xfId="16083" xr:uid="{298C206B-E0B4-454E-8067-CB400AAE1059}"/>
    <cellStyle name="Normal 2 4 3 3 2 7 3" xfId="11866" xr:uid="{0C8FE400-7A37-47A8-AA05-833656388C4C}"/>
    <cellStyle name="Normal 2 4 3 3 2 8" xfId="4691" xr:uid="{00000000-0005-0000-0000-0000F80F0000}"/>
    <cellStyle name="Normal 2 4 3 3 2 8 2" xfId="14017" xr:uid="{544CE365-CF36-4A02-BB4C-A24CC0987F04}"/>
    <cellStyle name="Normal 2 4 3 3 2 9" xfId="8917" xr:uid="{1E22693C-F4B1-4678-80B0-65CF6DC31586}"/>
    <cellStyle name="Normal 2 4 3 3 2 9 2" xfId="18241" xr:uid="{0F5DE2D6-2321-49C0-AFA8-7BAA0C00C4EB}"/>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33548E21-E0DF-4182-AE31-161328E6108F}"/>
    <cellStyle name="Normal 2 4 3 3 3 2 2 3" xfId="12361" xr:uid="{862B8849-D7C2-451A-9779-E397C3087304}"/>
    <cellStyle name="Normal 2 4 3 3 3 2 3" xfId="5107" xr:uid="{00000000-0005-0000-0000-0000FD0F0000}"/>
    <cellStyle name="Normal 2 4 3 3 3 2 3 2" xfId="14433" xr:uid="{F856608F-7600-44ED-8E74-DF3141CD3C8F}"/>
    <cellStyle name="Normal 2 4 3 3 3 2 4" xfId="9446" xr:uid="{7ACDBBC8-943F-41CF-9832-96F56BCB3985}"/>
    <cellStyle name="Normal 2 4 3 3 3 2 4 2" xfId="18761" xr:uid="{E6CEB0AA-383B-4BBA-9CEB-DA0824BD548C}"/>
    <cellStyle name="Normal 2 4 3 3 3 2 5" xfId="10216" xr:uid="{6E7BC972-6091-49F5-A673-CF5F66A1C332}"/>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09C73466-C078-426F-BFBA-A574844D5FE6}"/>
    <cellStyle name="Normal 2 4 3 3 3 3 2 3" xfId="12774" xr:uid="{58DD13B4-9C99-4282-80FE-37E3B945A419}"/>
    <cellStyle name="Normal 2 4 3 3 3 3 3" xfId="5520" xr:uid="{00000000-0005-0000-0000-000001100000}"/>
    <cellStyle name="Normal 2 4 3 3 3 3 3 2" xfId="14846" xr:uid="{E2F5FD12-E297-4159-A98F-9CB6B30F771C}"/>
    <cellStyle name="Normal 2 4 3 3 3 3 4" xfId="10629" xr:uid="{DFD4A5F0-B949-452B-9866-742900B9928E}"/>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C3A18DFA-AB21-4A5B-A717-E5A4D715C476}"/>
    <cellStyle name="Normal 2 4 3 3 3 4 2 3" xfId="13187" xr:uid="{7A794D02-EA6A-404F-8826-63072E8A268C}"/>
    <cellStyle name="Normal 2 4 3 3 3 4 3" xfId="5933" xr:uid="{00000000-0005-0000-0000-000005100000}"/>
    <cellStyle name="Normal 2 4 3 3 3 4 3 2" xfId="15259" xr:uid="{4A31CF0A-9667-4CF5-B285-0BFABF29119E}"/>
    <cellStyle name="Normal 2 4 3 3 3 4 4" xfId="11042" xr:uid="{AAE346EE-C142-4724-88F9-E6551FDA253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CC846C15-9F04-40AD-A411-669C26DC7AD0}"/>
    <cellStyle name="Normal 2 4 3 3 3 5 2 3" xfId="13600" xr:uid="{13C42406-CC90-4891-BAA1-85BCD12F9131}"/>
    <cellStyle name="Normal 2 4 3 3 3 5 3" xfId="6346" xr:uid="{00000000-0005-0000-0000-000009100000}"/>
    <cellStyle name="Normal 2 4 3 3 3 5 3 2" xfId="15672" xr:uid="{0A50C14B-C115-4B4B-88AB-2D58879BC12A}"/>
    <cellStyle name="Normal 2 4 3 3 3 5 4" xfId="11455" xr:uid="{4A1D0D3B-534B-4641-9FA3-FADBCE4D79BC}"/>
    <cellStyle name="Normal 2 4 3 3 3 6" xfId="2476" xr:uid="{00000000-0005-0000-0000-00000A100000}"/>
    <cellStyle name="Normal 2 4 3 3 3 6 2" xfId="6759" xr:uid="{00000000-0005-0000-0000-00000B100000}"/>
    <cellStyle name="Normal 2 4 3 3 3 6 2 2" xfId="16085" xr:uid="{9CA43A6B-242D-4E73-8A04-AAA8489C2CCC}"/>
    <cellStyle name="Normal 2 4 3 3 3 6 3" xfId="11868" xr:uid="{451EB54C-FE16-44F1-B729-2BDEB822346C}"/>
    <cellStyle name="Normal 2 4 3 3 3 7" xfId="4693" xr:uid="{00000000-0005-0000-0000-00000C100000}"/>
    <cellStyle name="Normal 2 4 3 3 3 7 2" xfId="14019" xr:uid="{CD5C50F6-6CB8-4502-8E8F-81A19BBDECD2}"/>
    <cellStyle name="Normal 2 4 3 3 3 8" xfId="9021" xr:uid="{4EC0F035-DC07-4262-9C58-7142AC357944}"/>
    <cellStyle name="Normal 2 4 3 3 3 8 2" xfId="18345" xr:uid="{23B00537-7B27-430A-9438-6A20E26B4D67}"/>
    <cellStyle name="Normal 2 4 3 3 3 9" xfId="9802" xr:uid="{387663ED-726E-42DE-9634-DBF169EECEDC}"/>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BD7CDE52-CA69-4876-9B0E-08F6495DE8F8}"/>
    <cellStyle name="Normal 2 4 3 3 4 2 3" xfId="12358" xr:uid="{E447D906-11C6-4A2D-875B-27119E14841F}"/>
    <cellStyle name="Normal 2 4 3 3 4 3" xfId="5104" xr:uid="{00000000-0005-0000-0000-000010100000}"/>
    <cellStyle name="Normal 2 4 3 3 4 3 2" xfId="14430" xr:uid="{FFE080E4-6C2B-47BD-B2EF-6B26737AB698}"/>
    <cellStyle name="Normal 2 4 3 3 4 4" xfId="9239" xr:uid="{3DCBA9AF-C63D-4CA9-81B6-AC7CB7B67292}"/>
    <cellStyle name="Normal 2 4 3 3 4 4 2" xfId="18554" xr:uid="{18B25A6D-48A4-4482-8585-F39A1CD22841}"/>
    <cellStyle name="Normal 2 4 3 3 4 5" xfId="10213" xr:uid="{776C2D7C-418F-486B-BA6C-97EABB35797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52CD5EF6-61F2-46AF-9176-AA831C16B45F}"/>
    <cellStyle name="Normal 2 4 3 3 5 2 3" xfId="12771" xr:uid="{CAA4EC80-1056-423D-AF7A-618605CA5F60}"/>
    <cellStyle name="Normal 2 4 3 3 5 3" xfId="5517" xr:uid="{00000000-0005-0000-0000-000014100000}"/>
    <cellStyle name="Normal 2 4 3 3 5 3 2" xfId="14843" xr:uid="{151E8C59-1CD2-43F5-891C-7F7BFF68FC8B}"/>
    <cellStyle name="Normal 2 4 3 3 5 4" xfId="10626" xr:uid="{6EC0A80A-8F6D-4321-A3AB-6EDB804F6834}"/>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F68A55DC-91B1-4CE4-B99F-E37174DD55F2}"/>
    <cellStyle name="Normal 2 4 3 3 6 2 3" xfId="13184" xr:uid="{142BE431-8CEF-4B77-8D45-C6B321A055B2}"/>
    <cellStyle name="Normal 2 4 3 3 6 3" xfId="5930" xr:uid="{00000000-0005-0000-0000-000018100000}"/>
    <cellStyle name="Normal 2 4 3 3 6 3 2" xfId="15256" xr:uid="{DBFE07AC-A7EE-45F4-9F34-86F7EF3ABEE4}"/>
    <cellStyle name="Normal 2 4 3 3 6 4" xfId="11039" xr:uid="{6C212F6C-C3D9-4618-A89E-C9A9D963613C}"/>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65019628-3932-4379-951C-DF6EC50234AF}"/>
    <cellStyle name="Normal 2 4 3 3 7 2 3" xfId="13597" xr:uid="{6ACC847E-1CB6-436C-A68A-E087EE895CF9}"/>
    <cellStyle name="Normal 2 4 3 3 7 3" xfId="6343" xr:uid="{00000000-0005-0000-0000-00001C100000}"/>
    <cellStyle name="Normal 2 4 3 3 7 3 2" xfId="15669" xr:uid="{39E23E9D-BF63-4180-A366-DA234C1D5C67}"/>
    <cellStyle name="Normal 2 4 3 3 7 4" xfId="11452" xr:uid="{032BD098-4FAC-4E87-9FD8-ED0F0DD6E70E}"/>
    <cellStyle name="Normal 2 4 3 3 8" xfId="2473" xr:uid="{00000000-0005-0000-0000-00001D100000}"/>
    <cellStyle name="Normal 2 4 3 3 8 2" xfId="6756" xr:uid="{00000000-0005-0000-0000-00001E100000}"/>
    <cellStyle name="Normal 2 4 3 3 8 2 2" xfId="16082" xr:uid="{E21098EC-7AEB-4982-90B6-2BE22A7BA778}"/>
    <cellStyle name="Normal 2 4 3 3 8 3" xfId="11865" xr:uid="{7688FA2D-F4AB-4261-B6D1-575D1ED23304}"/>
    <cellStyle name="Normal 2 4 3 3 9" xfId="4690" xr:uid="{00000000-0005-0000-0000-00001F100000}"/>
    <cellStyle name="Normal 2 4 3 3 9 2" xfId="14016" xr:uid="{63F6F65E-84C4-4CA1-825B-0C6BDDA1FE55}"/>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C59BD4BE-6C23-4431-9A07-030C8D152787}"/>
    <cellStyle name="Normal 2 4 3 4 2 3" xfId="12357" xr:uid="{2F5BEF10-79FA-4410-A4FD-D8603554877F}"/>
    <cellStyle name="Normal 2 4 3 4 3" xfId="5103" xr:uid="{00000000-0005-0000-0000-000023100000}"/>
    <cellStyle name="Normal 2 4 3 4 3 2" xfId="14429" xr:uid="{8266482F-848E-419E-B211-2D4D0C1FBE83}"/>
    <cellStyle name="Normal 2 4 3 4 4" xfId="9605" xr:uid="{31B075F0-6828-4EC6-AC77-4B4B0626A722}"/>
    <cellStyle name="Normal 2 4 3 4 4 2" xfId="18906" xr:uid="{DC437E20-A82C-4113-A0E1-7709D24FA35C}"/>
    <cellStyle name="Normal 2 4 3 4 5" xfId="10212" xr:uid="{038C4D73-BA6D-418B-95D0-733E1E1D1194}"/>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2D8A7929-7AC9-4931-84DD-7ED30676AF41}"/>
    <cellStyle name="Normal 2 4 3 5 2 3" xfId="12770" xr:uid="{6D772959-AECE-4408-933D-FAD0524E6810}"/>
    <cellStyle name="Normal 2 4 3 5 3" xfId="5516" xr:uid="{00000000-0005-0000-0000-000027100000}"/>
    <cellStyle name="Normal 2 4 3 5 3 2" xfId="14842" xr:uid="{5C34346C-94B9-4234-B752-B019EB1E1AD7}"/>
    <cellStyle name="Normal 2 4 3 5 4" xfId="10625" xr:uid="{BDF4D26D-4407-4C9B-9A0D-FE0C765AFC1F}"/>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FDBE14E2-6FE3-4CE5-A67F-C1A7204A8B6D}"/>
    <cellStyle name="Normal 2 4 3 6 2 3" xfId="13183" xr:uid="{77F6CED9-6BD6-4935-B726-6D549C6B8DDD}"/>
    <cellStyle name="Normal 2 4 3 6 3" xfId="5929" xr:uid="{00000000-0005-0000-0000-00002B100000}"/>
    <cellStyle name="Normal 2 4 3 6 3 2" xfId="15255" xr:uid="{6F16A55A-CCAA-49EC-95CC-7EC64B922B95}"/>
    <cellStyle name="Normal 2 4 3 6 4" xfId="11038" xr:uid="{7E6A9488-9B53-4695-BA0A-A58420B3E824}"/>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2D489DF1-58CD-4EED-BC31-EBA160F8ED3A}"/>
    <cellStyle name="Normal 2 4 3 7 2 3" xfId="13596" xr:uid="{3B86B36E-93DD-4CEA-B5B4-63CD4D3A0A91}"/>
    <cellStyle name="Normal 2 4 3 7 3" xfId="6342" xr:uid="{00000000-0005-0000-0000-00002F100000}"/>
    <cellStyle name="Normal 2 4 3 7 3 2" xfId="15668" xr:uid="{B8F710F1-3E94-4978-B4AF-C96A62EE8034}"/>
    <cellStyle name="Normal 2 4 3 7 4" xfId="11451" xr:uid="{487CC67D-DA23-45A1-838E-04140D5EAF47}"/>
    <cellStyle name="Normal 2 4 3 8" xfId="2472" xr:uid="{00000000-0005-0000-0000-000030100000}"/>
    <cellStyle name="Normal 2 4 3 8 2" xfId="6755" xr:uid="{00000000-0005-0000-0000-000031100000}"/>
    <cellStyle name="Normal 2 4 3 8 2 2" xfId="16081" xr:uid="{89372010-8F1A-4494-9C92-7818817F7534}"/>
    <cellStyle name="Normal 2 4 3 8 3" xfId="11864" xr:uid="{777D4D48-938E-4D0F-8153-BA34ACC2DF7D}"/>
    <cellStyle name="Normal 2 4 3 9" xfId="4689" xr:uid="{00000000-0005-0000-0000-000032100000}"/>
    <cellStyle name="Normal 2 4 3 9 2" xfId="14015" xr:uid="{E257E114-17E6-46D3-8252-DC28F51B1649}"/>
    <cellStyle name="Normal 2 4 4" xfId="302" xr:uid="{00000000-0005-0000-0000-000033100000}"/>
    <cellStyle name="Normal 2 4 5" xfId="303" xr:uid="{00000000-0005-0000-0000-000034100000}"/>
    <cellStyle name="Normal 2 4 5 10" xfId="4694" xr:uid="{00000000-0005-0000-0000-000035100000}"/>
    <cellStyle name="Normal 2 4 5 10 2" xfId="14020" xr:uid="{4619C7BD-C1FE-4FE7-BFDF-43EEDF510BA6}"/>
    <cellStyle name="Normal 2 4 5 11" xfId="8780" xr:uid="{7650B30D-5C17-47F0-B17B-A5E27258C29E}"/>
    <cellStyle name="Normal 2 4 5 11 2" xfId="18104" xr:uid="{BD6C0E35-0358-4DC4-B007-AD5FC2D03D6C}"/>
    <cellStyle name="Normal 2 4 5 12" xfId="9803" xr:uid="{1490BC92-B78A-4B75-98C6-B6B660267E1F}"/>
    <cellStyle name="Normal 2 4 5 2" xfId="304" xr:uid="{00000000-0005-0000-0000-000036100000}"/>
    <cellStyle name="Normal 2 4 5 2 10" xfId="8815" xr:uid="{40A5EFE5-2EC9-4F25-B9EC-CAF9321E00F7}"/>
    <cellStyle name="Normal 2 4 5 2 10 2" xfId="18139" xr:uid="{272E54C0-139D-486C-A24E-76FFD85BAD28}"/>
    <cellStyle name="Normal 2 4 5 2 11" xfId="9804" xr:uid="{56AC6314-1E71-4A27-AF36-DFDA63BBDF8C}"/>
    <cellStyle name="Normal 2 4 5 2 2" xfId="305" xr:uid="{00000000-0005-0000-0000-000037100000}"/>
    <cellStyle name="Normal 2 4 5 2 2 10" xfId="9805" xr:uid="{FB44B853-F8C9-406F-B97B-0D8821464D9F}"/>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4B8837C4-A063-4D99-B5E4-513903BEE648}"/>
    <cellStyle name="Normal 2 4 5 2 2 2 2 2 3" xfId="12365" xr:uid="{2A9F5034-4DAE-4085-92B1-A5A16C518EAF}"/>
    <cellStyle name="Normal 2 4 5 2 2 2 2 3" xfId="5111" xr:uid="{00000000-0005-0000-0000-00003C100000}"/>
    <cellStyle name="Normal 2 4 5 2 2 2 2 3 2" xfId="14437" xr:uid="{760C6919-FA21-4555-ACE6-FF9ED86331E8}"/>
    <cellStyle name="Normal 2 4 5 2 2 2 2 4" xfId="9550" xr:uid="{8A7671EC-AB7E-4F51-9B1B-FE1F0FDC42A9}"/>
    <cellStyle name="Normal 2 4 5 2 2 2 2 4 2" xfId="18865" xr:uid="{52A254D6-D852-4FD3-9F89-4DEF40057E97}"/>
    <cellStyle name="Normal 2 4 5 2 2 2 2 5" xfId="10220" xr:uid="{D441D8A3-47B1-4CFF-A61E-3EBB2475D243}"/>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09691C89-C03B-4477-B2A2-C0F7651DF75D}"/>
    <cellStyle name="Normal 2 4 5 2 2 2 3 2 3" xfId="12778" xr:uid="{290E588C-DFD0-4D50-868A-8094E87548A1}"/>
    <cellStyle name="Normal 2 4 5 2 2 2 3 3" xfId="5524" xr:uid="{00000000-0005-0000-0000-000040100000}"/>
    <cellStyle name="Normal 2 4 5 2 2 2 3 3 2" xfId="14850" xr:uid="{B21AC8BA-4DE4-4B2E-9D0C-D58A6FFE1EF2}"/>
    <cellStyle name="Normal 2 4 5 2 2 2 3 4" xfId="10633" xr:uid="{C813A702-C8AD-48D2-8450-1D41B176F879}"/>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9CC1896C-840F-49FF-A644-ADC29CFB6F57}"/>
    <cellStyle name="Normal 2 4 5 2 2 2 4 2 3" xfId="13191" xr:uid="{2C96ABBD-A45B-4084-AD30-0799B343884C}"/>
    <cellStyle name="Normal 2 4 5 2 2 2 4 3" xfId="5937" xr:uid="{00000000-0005-0000-0000-000044100000}"/>
    <cellStyle name="Normal 2 4 5 2 2 2 4 3 2" xfId="15263" xr:uid="{CA74FD38-4D25-482E-A6C0-80E28E258A60}"/>
    <cellStyle name="Normal 2 4 5 2 2 2 4 4" xfId="11046" xr:uid="{A949B9C5-72F2-4C77-B23D-1B93E2959BD1}"/>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D192A004-0EF4-4A18-92C8-F3C3ACBF3ABF}"/>
    <cellStyle name="Normal 2 4 5 2 2 2 5 2 3" xfId="13604" xr:uid="{95B79647-8247-42DF-A4C4-63E0227B2251}"/>
    <cellStyle name="Normal 2 4 5 2 2 2 5 3" xfId="6350" xr:uid="{00000000-0005-0000-0000-000048100000}"/>
    <cellStyle name="Normal 2 4 5 2 2 2 5 3 2" xfId="15676" xr:uid="{C15DD454-4857-46B2-AEE4-7740F4AF24AC}"/>
    <cellStyle name="Normal 2 4 5 2 2 2 5 4" xfId="11459" xr:uid="{F99368FC-AB5D-4611-89FB-75073D3A8E08}"/>
    <cellStyle name="Normal 2 4 5 2 2 2 6" xfId="2480" xr:uid="{00000000-0005-0000-0000-000049100000}"/>
    <cellStyle name="Normal 2 4 5 2 2 2 6 2" xfId="6763" xr:uid="{00000000-0005-0000-0000-00004A100000}"/>
    <cellStyle name="Normal 2 4 5 2 2 2 6 2 2" xfId="16089" xr:uid="{5A5CB3E4-17A2-4FC8-AA49-0EF31F93D2B2}"/>
    <cellStyle name="Normal 2 4 5 2 2 2 6 3" xfId="11872" xr:uid="{C620C0E5-12FA-46B9-BA4F-4280A98DEC24}"/>
    <cellStyle name="Normal 2 4 5 2 2 2 7" xfId="4697" xr:uid="{00000000-0005-0000-0000-00004B100000}"/>
    <cellStyle name="Normal 2 4 5 2 2 2 7 2" xfId="14023" xr:uid="{92BB619A-3D88-4314-B9E2-B3AECC6813EB}"/>
    <cellStyle name="Normal 2 4 5 2 2 2 8" xfId="9125" xr:uid="{AE6B93A1-5C0B-49F1-AF15-6FC3FAFFE3B2}"/>
    <cellStyle name="Normal 2 4 5 2 2 2 8 2" xfId="18449" xr:uid="{01533E6F-7B06-4770-B067-98F5432B9F4D}"/>
    <cellStyle name="Normal 2 4 5 2 2 2 9" xfId="9806" xr:uid="{19CA6705-BE34-4FB4-A94F-6ABA0BA7436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54961998-38EE-49EE-963E-FFEE2293BC44}"/>
    <cellStyle name="Normal 2 4 5 2 2 3 2 3" xfId="12364" xr:uid="{F9585A88-8AFC-484A-8F28-5093D0D06685}"/>
    <cellStyle name="Normal 2 4 5 2 2 3 3" xfId="5110" xr:uid="{00000000-0005-0000-0000-00004F100000}"/>
    <cellStyle name="Normal 2 4 5 2 2 3 3 2" xfId="14436" xr:uid="{8A1BA0EE-E6B6-496F-B56A-8C7503E8E58E}"/>
    <cellStyle name="Normal 2 4 5 2 2 3 4" xfId="9343" xr:uid="{FC4CD386-4202-45E2-8021-2A85CACF4E8B}"/>
    <cellStyle name="Normal 2 4 5 2 2 3 4 2" xfId="18658" xr:uid="{B9AF7C65-62A6-4FCC-83B9-9BDB24582E4C}"/>
    <cellStyle name="Normal 2 4 5 2 2 3 5" xfId="10219" xr:uid="{7B9DA297-C66E-4CB2-9FEF-4F4432870F6A}"/>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88D3CBB3-63EF-44CF-9BB3-AD26A47B6B08}"/>
    <cellStyle name="Normal 2 4 5 2 2 4 2 3" xfId="12777" xr:uid="{05BBCD08-8F0E-45B2-8A14-AADC40FBA10B}"/>
    <cellStyle name="Normal 2 4 5 2 2 4 3" xfId="5523" xr:uid="{00000000-0005-0000-0000-000053100000}"/>
    <cellStyle name="Normal 2 4 5 2 2 4 3 2" xfId="14849" xr:uid="{AC9005C4-BFA8-4E34-9AE7-355ABF1DF063}"/>
    <cellStyle name="Normal 2 4 5 2 2 4 4" xfId="10632" xr:uid="{16052C17-84CC-4983-924D-8C9935B4EA7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ECD50637-925C-4601-9182-6C2D54874735}"/>
    <cellStyle name="Normal 2 4 5 2 2 5 2 3" xfId="13190" xr:uid="{72AA2116-C650-4D43-B3AC-149A38C5AD2A}"/>
    <cellStyle name="Normal 2 4 5 2 2 5 3" xfId="5936" xr:uid="{00000000-0005-0000-0000-000057100000}"/>
    <cellStyle name="Normal 2 4 5 2 2 5 3 2" xfId="15262" xr:uid="{61B1DD16-C323-4891-B32F-4ED30982732B}"/>
    <cellStyle name="Normal 2 4 5 2 2 5 4" xfId="11045" xr:uid="{5A1802F5-B671-466F-94A7-6A255AB4812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960841F0-08DF-4EEB-99A2-05C5BE7065A0}"/>
    <cellStyle name="Normal 2 4 5 2 2 6 2 3" xfId="13603" xr:uid="{D8C37522-A8B7-4B5C-A00E-4E09526DAC6C}"/>
    <cellStyle name="Normal 2 4 5 2 2 6 3" xfId="6349" xr:uid="{00000000-0005-0000-0000-00005B100000}"/>
    <cellStyle name="Normal 2 4 5 2 2 6 3 2" xfId="15675" xr:uid="{FFC8DDD8-EC69-471A-A8E5-62871DDEAF0F}"/>
    <cellStyle name="Normal 2 4 5 2 2 6 4" xfId="11458" xr:uid="{6AD8C444-B3CA-4A98-99CF-E97FD2E0A8DE}"/>
    <cellStyle name="Normal 2 4 5 2 2 7" xfId="2479" xr:uid="{00000000-0005-0000-0000-00005C100000}"/>
    <cellStyle name="Normal 2 4 5 2 2 7 2" xfId="6762" xr:uid="{00000000-0005-0000-0000-00005D100000}"/>
    <cellStyle name="Normal 2 4 5 2 2 7 2 2" xfId="16088" xr:uid="{A8C2861D-9DF6-467E-9E57-D95DCC811FC4}"/>
    <cellStyle name="Normal 2 4 5 2 2 7 3" xfId="11871" xr:uid="{762D78ED-787F-45D5-89A6-295055944663}"/>
    <cellStyle name="Normal 2 4 5 2 2 8" xfId="4696" xr:uid="{00000000-0005-0000-0000-00005E100000}"/>
    <cellStyle name="Normal 2 4 5 2 2 8 2" xfId="14022" xr:uid="{4C469855-9B8B-443C-92DB-6752B3C0A88A}"/>
    <cellStyle name="Normal 2 4 5 2 2 9" xfId="8918" xr:uid="{C191AFB9-5B9B-45BF-8589-0BB68E370D0F}"/>
    <cellStyle name="Normal 2 4 5 2 2 9 2" xfId="18242" xr:uid="{05EF90A2-7E3D-4E71-93FC-86EA3AED616C}"/>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B2D4FB6B-DE4A-4E97-B753-1F218AD740F4}"/>
    <cellStyle name="Normal 2 4 5 2 3 2 2 3" xfId="12366" xr:uid="{47FFE78D-460B-45AD-983B-94BCF277BB7F}"/>
    <cellStyle name="Normal 2 4 5 2 3 2 3" xfId="5112" xr:uid="{00000000-0005-0000-0000-000063100000}"/>
    <cellStyle name="Normal 2 4 5 2 3 2 3 2" xfId="14438" xr:uid="{C578C6CE-1AF9-4847-BC68-92C9A3019719}"/>
    <cellStyle name="Normal 2 4 5 2 3 2 4" xfId="9447" xr:uid="{5DAE67B2-15F6-4C7F-9310-B9C816D42F72}"/>
    <cellStyle name="Normal 2 4 5 2 3 2 4 2" xfId="18762" xr:uid="{B82AE4D6-37D4-4520-8D4D-9055B05466DA}"/>
    <cellStyle name="Normal 2 4 5 2 3 2 5" xfId="10221" xr:uid="{0640F6F5-70B0-423C-94EC-2B2AB73782F3}"/>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EF8F0E51-3117-4DD5-8E9A-0816D0537BB3}"/>
    <cellStyle name="Normal 2 4 5 2 3 3 2 3" xfId="12779" xr:uid="{CDF06742-DD28-467C-A8B5-68A4B365E431}"/>
    <cellStyle name="Normal 2 4 5 2 3 3 3" xfId="5525" xr:uid="{00000000-0005-0000-0000-000067100000}"/>
    <cellStyle name="Normal 2 4 5 2 3 3 3 2" xfId="14851" xr:uid="{ECB53F34-93D9-4B4D-A7F7-38CBCEBCA75C}"/>
    <cellStyle name="Normal 2 4 5 2 3 3 4" xfId="10634" xr:uid="{281337F1-9E8E-48B6-BAC5-6455E70B1013}"/>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39D2A4A6-2837-485B-8900-EF02B9456F76}"/>
    <cellStyle name="Normal 2 4 5 2 3 4 2 3" xfId="13192" xr:uid="{0E203344-87EF-4D20-8916-BA27BDD62A03}"/>
    <cellStyle name="Normal 2 4 5 2 3 4 3" xfId="5938" xr:uid="{00000000-0005-0000-0000-00006B100000}"/>
    <cellStyle name="Normal 2 4 5 2 3 4 3 2" xfId="15264" xr:uid="{AC1D83E9-BDC4-40A6-8A33-A34D58F3558D}"/>
    <cellStyle name="Normal 2 4 5 2 3 4 4" xfId="11047" xr:uid="{33558033-A300-440E-A376-3D9199414CFB}"/>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B1F133E9-D71D-417B-9458-41C685B7050B}"/>
    <cellStyle name="Normal 2 4 5 2 3 5 2 3" xfId="13605" xr:uid="{3529B823-9FD5-41C2-8D5C-18CB1ED1D03B}"/>
    <cellStyle name="Normal 2 4 5 2 3 5 3" xfId="6351" xr:uid="{00000000-0005-0000-0000-00006F100000}"/>
    <cellStyle name="Normal 2 4 5 2 3 5 3 2" xfId="15677" xr:uid="{4DE5198F-0A84-4234-B957-DF9464218A8C}"/>
    <cellStyle name="Normal 2 4 5 2 3 5 4" xfId="11460" xr:uid="{5A0391CC-604F-4074-B8DF-6998F8EF5628}"/>
    <cellStyle name="Normal 2 4 5 2 3 6" xfId="2481" xr:uid="{00000000-0005-0000-0000-000070100000}"/>
    <cellStyle name="Normal 2 4 5 2 3 6 2" xfId="6764" xr:uid="{00000000-0005-0000-0000-000071100000}"/>
    <cellStyle name="Normal 2 4 5 2 3 6 2 2" xfId="16090" xr:uid="{78434CF6-4599-424A-BB1B-1514823832E6}"/>
    <cellStyle name="Normal 2 4 5 2 3 6 3" xfId="11873" xr:uid="{05D4BFFF-7CE8-4350-A9C4-E3CD37E18ADC}"/>
    <cellStyle name="Normal 2 4 5 2 3 7" xfId="4698" xr:uid="{00000000-0005-0000-0000-000072100000}"/>
    <cellStyle name="Normal 2 4 5 2 3 7 2" xfId="14024" xr:uid="{F76FAFC6-9F52-4E4D-83AB-7AC6DEA33DB4}"/>
    <cellStyle name="Normal 2 4 5 2 3 8" xfId="9022" xr:uid="{B979F5DF-A88B-437D-B1B4-B92D08856DC7}"/>
    <cellStyle name="Normal 2 4 5 2 3 8 2" xfId="18346" xr:uid="{6AD37808-B1C4-408F-AA03-E89A3952952E}"/>
    <cellStyle name="Normal 2 4 5 2 3 9" xfId="9807" xr:uid="{EAF724AD-0C3F-46F8-A48E-1255E05C3EEF}"/>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717ECCB3-55F6-4C55-AD3A-8956E5055419}"/>
    <cellStyle name="Normal 2 4 5 2 4 2 3" xfId="12363" xr:uid="{5FF02715-B789-4BB9-A32D-AEED01C17131}"/>
    <cellStyle name="Normal 2 4 5 2 4 3" xfId="5109" xr:uid="{00000000-0005-0000-0000-000076100000}"/>
    <cellStyle name="Normal 2 4 5 2 4 3 2" xfId="14435" xr:uid="{13EF3F8B-F008-419F-BE5F-3F26119831C0}"/>
    <cellStyle name="Normal 2 4 5 2 4 4" xfId="9240" xr:uid="{16FBE981-4867-4157-8C0D-9C1339DB5B3F}"/>
    <cellStyle name="Normal 2 4 5 2 4 4 2" xfId="18555" xr:uid="{E998103A-8F40-422C-995C-2A615BE33A92}"/>
    <cellStyle name="Normal 2 4 5 2 4 5" xfId="10218" xr:uid="{C46E5274-40EC-4666-8A4E-81CB378A8128}"/>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26112E5D-979A-43B3-BB7B-5FE56E4D30FC}"/>
    <cellStyle name="Normal 2 4 5 2 5 2 3" xfId="12776" xr:uid="{18C01BCB-E5B1-49F6-ACFC-09D27EBCB6B4}"/>
    <cellStyle name="Normal 2 4 5 2 5 3" xfId="5522" xr:uid="{00000000-0005-0000-0000-00007A100000}"/>
    <cellStyle name="Normal 2 4 5 2 5 3 2" xfId="14848" xr:uid="{5A1DFD2C-520E-4AA4-9553-7F3AD08C5B29}"/>
    <cellStyle name="Normal 2 4 5 2 5 4" xfId="10631" xr:uid="{3EA5EE19-C2D5-442D-AC05-7DFB1C730AB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49DFED85-38DB-4595-B4C7-4A8564925CA2}"/>
    <cellStyle name="Normal 2 4 5 2 6 2 3" xfId="13189" xr:uid="{36B76A7C-F995-4707-8E1E-82F64379FC19}"/>
    <cellStyle name="Normal 2 4 5 2 6 3" xfId="5935" xr:uid="{00000000-0005-0000-0000-00007E100000}"/>
    <cellStyle name="Normal 2 4 5 2 6 3 2" xfId="15261" xr:uid="{9C3C17BB-F548-4928-9816-65BBF2256B13}"/>
    <cellStyle name="Normal 2 4 5 2 6 4" xfId="11044" xr:uid="{9B6F8D3E-F054-4805-B215-640241628EDE}"/>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4B8DAF83-9728-4B84-B753-C50F7EF9925E}"/>
    <cellStyle name="Normal 2 4 5 2 7 2 3" xfId="13602" xr:uid="{42DC1E6F-3DCD-467E-A17F-46FE2F611CA0}"/>
    <cellStyle name="Normal 2 4 5 2 7 3" xfId="6348" xr:uid="{00000000-0005-0000-0000-000082100000}"/>
    <cellStyle name="Normal 2 4 5 2 7 3 2" xfId="15674" xr:uid="{33A5B01D-689C-421E-A7E2-2F3CB391A45E}"/>
    <cellStyle name="Normal 2 4 5 2 7 4" xfId="11457" xr:uid="{B92251ED-4E69-4CA2-B99E-138F432BF054}"/>
    <cellStyle name="Normal 2 4 5 2 8" xfId="2478" xr:uid="{00000000-0005-0000-0000-000083100000}"/>
    <cellStyle name="Normal 2 4 5 2 8 2" xfId="6761" xr:uid="{00000000-0005-0000-0000-000084100000}"/>
    <cellStyle name="Normal 2 4 5 2 8 2 2" xfId="16087" xr:uid="{8AB4B5EC-3BDE-4045-B96B-8F1D990999EE}"/>
    <cellStyle name="Normal 2 4 5 2 8 3" xfId="11870" xr:uid="{5F00D6DF-B869-4956-9376-34E601122885}"/>
    <cellStyle name="Normal 2 4 5 2 9" xfId="4695" xr:uid="{00000000-0005-0000-0000-000085100000}"/>
    <cellStyle name="Normal 2 4 5 2 9 2" xfId="14021" xr:uid="{67B79478-9CE6-4557-A884-96788AC88C70}"/>
    <cellStyle name="Normal 2 4 5 3" xfId="308" xr:uid="{00000000-0005-0000-0000-000086100000}"/>
    <cellStyle name="Normal 2 4 5 3 10" xfId="9808" xr:uid="{6B3BEED6-4F92-43EA-B1C9-B3EDF11C284A}"/>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FB30142D-88AC-4535-B1F1-7F4BCEEA11DB}"/>
    <cellStyle name="Normal 2 4 5 3 2 2 2 3" xfId="12368" xr:uid="{F6C7619E-8AC0-4654-92C0-E19694DB8B83}"/>
    <cellStyle name="Normal 2 4 5 3 2 2 3" xfId="5114" xr:uid="{00000000-0005-0000-0000-00008B100000}"/>
    <cellStyle name="Normal 2 4 5 3 2 2 3 2" xfId="14440" xr:uid="{CF25CC69-B0E4-4021-A274-CE98D745617A}"/>
    <cellStyle name="Normal 2 4 5 3 2 2 4" xfId="9515" xr:uid="{A1D6949C-773D-44DB-B26F-4DD01D24FF00}"/>
    <cellStyle name="Normal 2 4 5 3 2 2 4 2" xfId="18830" xr:uid="{DE46EE2B-0095-4809-8373-8D730842796F}"/>
    <cellStyle name="Normal 2 4 5 3 2 2 5" xfId="10223" xr:uid="{DB897786-7C41-464E-904D-6B6BA605A642}"/>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5269C064-251B-4FE9-A82D-638CEDCD84A6}"/>
    <cellStyle name="Normal 2 4 5 3 2 3 2 3" xfId="12781" xr:uid="{1BE8EEAB-A534-4532-BDBF-84B030702331}"/>
    <cellStyle name="Normal 2 4 5 3 2 3 3" xfId="5527" xr:uid="{00000000-0005-0000-0000-00008F100000}"/>
    <cellStyle name="Normal 2 4 5 3 2 3 3 2" xfId="14853" xr:uid="{149B148F-1E47-4421-8313-1AEE6F375556}"/>
    <cellStyle name="Normal 2 4 5 3 2 3 4" xfId="10636" xr:uid="{8DFA8A75-678C-434D-9490-CC23ADF491DB}"/>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1FAAEC52-F5E5-455E-B7E1-1C429E5686B4}"/>
    <cellStyle name="Normal 2 4 5 3 2 4 2 3" xfId="13194" xr:uid="{F9D394BC-6A31-466F-AD42-7E28B48143CD}"/>
    <cellStyle name="Normal 2 4 5 3 2 4 3" xfId="5940" xr:uid="{00000000-0005-0000-0000-000093100000}"/>
    <cellStyle name="Normal 2 4 5 3 2 4 3 2" xfId="15266" xr:uid="{D66BF9BD-0F87-431C-A951-168304B3E756}"/>
    <cellStyle name="Normal 2 4 5 3 2 4 4" xfId="11049" xr:uid="{C21C3B21-1137-41CB-B177-9DC38703FCB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AF649C3E-329A-48A2-B7E0-0FF147BC448D}"/>
    <cellStyle name="Normal 2 4 5 3 2 5 2 3" xfId="13607" xr:uid="{2BE232B4-8EEA-40F9-9D23-ACD354B6E978}"/>
    <cellStyle name="Normal 2 4 5 3 2 5 3" xfId="6353" xr:uid="{00000000-0005-0000-0000-000097100000}"/>
    <cellStyle name="Normal 2 4 5 3 2 5 3 2" xfId="15679" xr:uid="{C860E1FE-BDB1-4C7C-97BF-A8B0E545725F}"/>
    <cellStyle name="Normal 2 4 5 3 2 5 4" xfId="11462" xr:uid="{7D00503D-856D-4F83-BA9A-A78EDFD86317}"/>
    <cellStyle name="Normal 2 4 5 3 2 6" xfId="2483" xr:uid="{00000000-0005-0000-0000-000098100000}"/>
    <cellStyle name="Normal 2 4 5 3 2 6 2" xfId="6766" xr:uid="{00000000-0005-0000-0000-000099100000}"/>
    <cellStyle name="Normal 2 4 5 3 2 6 2 2" xfId="16092" xr:uid="{EF8E8447-0A81-4B51-97C8-0B3BF8C68C75}"/>
    <cellStyle name="Normal 2 4 5 3 2 6 3" xfId="11875" xr:uid="{08CBEE2C-E3B2-49CA-A0F9-C5A7A072A666}"/>
    <cellStyle name="Normal 2 4 5 3 2 7" xfId="4700" xr:uid="{00000000-0005-0000-0000-00009A100000}"/>
    <cellStyle name="Normal 2 4 5 3 2 7 2" xfId="14026" xr:uid="{30DE964F-B49E-4A0C-9A6C-74150AA753C8}"/>
    <cellStyle name="Normal 2 4 5 3 2 8" xfId="9090" xr:uid="{4B64C5F8-5AC3-43D3-B94A-46850BBF79A5}"/>
    <cellStyle name="Normal 2 4 5 3 2 8 2" xfId="18414" xr:uid="{1021DB68-C018-4696-9EC1-97F54956E278}"/>
    <cellStyle name="Normal 2 4 5 3 2 9" xfId="9809" xr:uid="{C6DD1A4D-A5F0-4010-AFDC-E9C90B1A9F36}"/>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6732D6E7-F3F3-49FB-90A9-C76ABF0425F1}"/>
    <cellStyle name="Normal 2 4 5 3 3 2 3" xfId="12367" xr:uid="{65DE6471-9AE9-43A9-AF2D-B7A3E790159F}"/>
    <cellStyle name="Normal 2 4 5 3 3 3" xfId="5113" xr:uid="{00000000-0005-0000-0000-00009E100000}"/>
    <cellStyle name="Normal 2 4 5 3 3 3 2" xfId="14439" xr:uid="{6B6867FF-8DF9-4D8F-AC9E-422233A61000}"/>
    <cellStyle name="Normal 2 4 5 3 3 4" xfId="9308" xr:uid="{40198FFA-4C90-42BE-90C8-42459F1A2A1C}"/>
    <cellStyle name="Normal 2 4 5 3 3 4 2" xfId="18623" xr:uid="{B4D9D7E3-BF66-4ACE-9A7E-93AAF310878B}"/>
    <cellStyle name="Normal 2 4 5 3 3 5" xfId="10222" xr:uid="{A147DD50-C3FC-4E8A-879E-8C3257E3F805}"/>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D5369641-10C2-436A-8A75-1DA0D886D1E7}"/>
    <cellStyle name="Normal 2 4 5 3 4 2 3" xfId="12780" xr:uid="{B83875CD-8A00-4487-A8F0-973D0C59D462}"/>
    <cellStyle name="Normal 2 4 5 3 4 3" xfId="5526" xr:uid="{00000000-0005-0000-0000-0000A2100000}"/>
    <cellStyle name="Normal 2 4 5 3 4 3 2" xfId="14852" xr:uid="{BF59A4F8-3EEB-41E8-BB63-57CF56BBEB07}"/>
    <cellStyle name="Normal 2 4 5 3 4 4" xfId="10635" xr:uid="{F1348214-D41E-4327-B510-B81D84F5CE78}"/>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4F3D2834-A0B7-4A31-A14E-F288AF56B45B}"/>
    <cellStyle name="Normal 2 4 5 3 5 2 3" xfId="13193" xr:uid="{26224F11-F533-4A65-BBAB-1C7BB6CF15B0}"/>
    <cellStyle name="Normal 2 4 5 3 5 3" xfId="5939" xr:uid="{00000000-0005-0000-0000-0000A6100000}"/>
    <cellStyle name="Normal 2 4 5 3 5 3 2" xfId="15265" xr:uid="{C17403D5-6ECA-4E7B-B640-2A91D5C02524}"/>
    <cellStyle name="Normal 2 4 5 3 5 4" xfId="11048" xr:uid="{F5CDA6D9-7104-4CDA-A30E-6AF05A9663C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E92F7323-5ECC-4FD0-848F-ACC5BB3DAEDA}"/>
    <cellStyle name="Normal 2 4 5 3 6 2 3" xfId="13606" xr:uid="{BB687CD5-89F6-48D1-BAF8-2D807CF7AB17}"/>
    <cellStyle name="Normal 2 4 5 3 6 3" xfId="6352" xr:uid="{00000000-0005-0000-0000-0000AA100000}"/>
    <cellStyle name="Normal 2 4 5 3 6 3 2" xfId="15678" xr:uid="{2E2BB7E9-9006-43A6-95EF-E2AB1FE0AC7E}"/>
    <cellStyle name="Normal 2 4 5 3 6 4" xfId="11461" xr:uid="{4E103013-9CC6-46D0-9831-F934CA2241A9}"/>
    <cellStyle name="Normal 2 4 5 3 7" xfId="2482" xr:uid="{00000000-0005-0000-0000-0000AB100000}"/>
    <cellStyle name="Normal 2 4 5 3 7 2" xfId="6765" xr:uid="{00000000-0005-0000-0000-0000AC100000}"/>
    <cellStyle name="Normal 2 4 5 3 7 2 2" xfId="16091" xr:uid="{6DE007D4-2C40-4A75-B60A-526C301F3AD7}"/>
    <cellStyle name="Normal 2 4 5 3 7 3" xfId="11874" xr:uid="{5D30D9B1-E0BA-4F9A-AC1B-7C88C7A63A31}"/>
    <cellStyle name="Normal 2 4 5 3 8" xfId="4699" xr:uid="{00000000-0005-0000-0000-0000AD100000}"/>
    <cellStyle name="Normal 2 4 5 3 8 2" xfId="14025" xr:uid="{4B2F342B-3904-4AD6-AF97-418B22D82BDA}"/>
    <cellStyle name="Normal 2 4 5 3 9" xfId="8883" xr:uid="{0A470B75-873E-4D74-A257-113E3E343E18}"/>
    <cellStyle name="Normal 2 4 5 3 9 2" xfId="18207" xr:uid="{DB07B4F6-6F16-4723-88DB-8589619B74AA}"/>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0B3EAE85-6D7A-4E75-A73F-FCD7E03FCB27}"/>
    <cellStyle name="Normal 2 4 5 4 2 2 3" xfId="12369" xr:uid="{5C914E1E-69D0-4DAD-A26C-2B4B9C078925}"/>
    <cellStyle name="Normal 2 4 5 4 2 3" xfId="5115" xr:uid="{00000000-0005-0000-0000-0000B2100000}"/>
    <cellStyle name="Normal 2 4 5 4 2 3 2" xfId="14441" xr:uid="{1888629E-2D89-451C-84CC-2E46A7141276}"/>
    <cellStyle name="Normal 2 4 5 4 2 4" xfId="9412" xr:uid="{0ECAC303-3EA0-4623-AA0F-854157CA32E5}"/>
    <cellStyle name="Normal 2 4 5 4 2 4 2" xfId="18727" xr:uid="{5ED42B34-65BA-4062-92B1-54B4050D9FFE}"/>
    <cellStyle name="Normal 2 4 5 4 2 5" xfId="10224" xr:uid="{A41B2621-48EC-4BA8-A322-5C08B4E3E981}"/>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B7C0EDDF-B466-4B84-B70F-76A5239E3AA3}"/>
    <cellStyle name="Normal 2 4 5 4 3 2 3" xfId="12782" xr:uid="{6D08FE2A-3034-4A67-B122-562EF33E4097}"/>
    <cellStyle name="Normal 2 4 5 4 3 3" xfId="5528" xr:uid="{00000000-0005-0000-0000-0000B6100000}"/>
    <cellStyle name="Normal 2 4 5 4 3 3 2" xfId="14854" xr:uid="{BB8C6AAA-ACEC-4DF5-9751-43F44F6AC674}"/>
    <cellStyle name="Normal 2 4 5 4 3 4" xfId="10637" xr:uid="{54F0A04C-95D8-4F2E-BAB1-0CBF4D5A3E67}"/>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C631A92B-06FD-47C3-9DCC-2C822D5735F5}"/>
    <cellStyle name="Normal 2 4 5 4 4 2 3" xfId="13195" xr:uid="{C8F937A1-2D2F-4457-9BCB-A3D8F24875CF}"/>
    <cellStyle name="Normal 2 4 5 4 4 3" xfId="5941" xr:uid="{00000000-0005-0000-0000-0000BA100000}"/>
    <cellStyle name="Normal 2 4 5 4 4 3 2" xfId="15267" xr:uid="{1C87BECA-D70E-4186-813C-64313C04BCB0}"/>
    <cellStyle name="Normal 2 4 5 4 4 4" xfId="11050" xr:uid="{81DA5839-47F9-4FF3-9962-22A35EB9CE54}"/>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43A0AAFF-0A19-423F-9F80-F8AAF8103E72}"/>
    <cellStyle name="Normal 2 4 5 4 5 2 3" xfId="13608" xr:uid="{8CD611AE-502B-4D41-B1BC-558D8A6D938A}"/>
    <cellStyle name="Normal 2 4 5 4 5 3" xfId="6354" xr:uid="{00000000-0005-0000-0000-0000BE100000}"/>
    <cellStyle name="Normal 2 4 5 4 5 3 2" xfId="15680" xr:uid="{C5771ADA-2F34-4AB6-9D4E-B2CFC844EF87}"/>
    <cellStyle name="Normal 2 4 5 4 5 4" xfId="11463" xr:uid="{231E1D2A-509F-4A64-9C71-70141C147216}"/>
    <cellStyle name="Normal 2 4 5 4 6" xfId="2484" xr:uid="{00000000-0005-0000-0000-0000BF100000}"/>
    <cellStyle name="Normal 2 4 5 4 6 2" xfId="6767" xr:uid="{00000000-0005-0000-0000-0000C0100000}"/>
    <cellStyle name="Normal 2 4 5 4 6 2 2" xfId="16093" xr:uid="{76DFD757-DB51-456C-A0F5-172C07318446}"/>
    <cellStyle name="Normal 2 4 5 4 6 3" xfId="11876" xr:uid="{62D0CFB3-BDE7-413A-B763-47E93762FB01}"/>
    <cellStyle name="Normal 2 4 5 4 7" xfId="4701" xr:uid="{00000000-0005-0000-0000-0000C1100000}"/>
    <cellStyle name="Normal 2 4 5 4 7 2" xfId="14027" xr:uid="{C7EA25BA-18C3-40ED-B6BE-BBC4A52CC7CF}"/>
    <cellStyle name="Normal 2 4 5 4 8" xfId="8987" xr:uid="{8DC2C01A-3078-41AD-BCFB-AA1CA8EE9C0A}"/>
    <cellStyle name="Normal 2 4 5 4 8 2" xfId="18311" xr:uid="{20239992-66D1-41AA-BC2A-DDC4F18A01D6}"/>
    <cellStyle name="Normal 2 4 5 4 9" xfId="9810" xr:uid="{CAD0E10E-B88E-426A-A6FC-E807FB3D0A66}"/>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5A58EF1F-16F5-4C47-BEEE-934BC3678282}"/>
    <cellStyle name="Normal 2 4 5 5 2 3" xfId="12362" xr:uid="{1A86735C-3133-4186-9D4F-2650F2237685}"/>
    <cellStyle name="Normal 2 4 5 5 3" xfId="5108" xr:uid="{00000000-0005-0000-0000-0000C5100000}"/>
    <cellStyle name="Normal 2 4 5 5 3 2" xfId="14434" xr:uid="{95E24FAC-511B-410C-85C9-78CE16E231B6}"/>
    <cellStyle name="Normal 2 4 5 5 4" xfId="9204" xr:uid="{BE34B337-03EE-47D8-9E35-2EE6FAB30236}"/>
    <cellStyle name="Normal 2 4 5 5 4 2" xfId="18520" xr:uid="{6FF29D51-0391-4EF3-9B2D-C8238B739BBF}"/>
    <cellStyle name="Normal 2 4 5 5 5" xfId="10217" xr:uid="{C65155AF-8565-4157-93AD-280A6C5FA339}"/>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91201688-40DB-4FB8-8C6C-76A695165208}"/>
    <cellStyle name="Normal 2 4 5 6 2 3" xfId="12775" xr:uid="{16F13BC1-D8B6-4E36-852B-77E0A6181155}"/>
    <cellStyle name="Normal 2 4 5 6 3" xfId="5521" xr:uid="{00000000-0005-0000-0000-0000C9100000}"/>
    <cellStyle name="Normal 2 4 5 6 3 2" xfId="14847" xr:uid="{4B4BEE99-518C-42C7-8747-7E7A8CC6B819}"/>
    <cellStyle name="Normal 2 4 5 6 4" xfId="10630" xr:uid="{C76FC960-D1B3-4981-9099-14E0CECEDE9A}"/>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1A6D581D-7CBA-4A6A-8F99-30DFEDB7E595}"/>
    <cellStyle name="Normal 2 4 5 7 2 3" xfId="13188" xr:uid="{76493224-C785-47F3-B807-A5A2C33EE9E0}"/>
    <cellStyle name="Normal 2 4 5 7 3" xfId="5934" xr:uid="{00000000-0005-0000-0000-0000CD100000}"/>
    <cellStyle name="Normal 2 4 5 7 3 2" xfId="15260" xr:uid="{A1F5AF47-01D6-449C-A629-84CAE75D9CB7}"/>
    <cellStyle name="Normal 2 4 5 7 4" xfId="11043" xr:uid="{F8E0803D-6578-419C-8807-F2507A080974}"/>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8E9CAC32-7DA6-4C32-BA0B-3470FAF819E4}"/>
    <cellStyle name="Normal 2 4 5 8 2 3" xfId="13601" xr:uid="{B86C5883-8B39-49C9-93F4-360BAF943D17}"/>
    <cellStyle name="Normal 2 4 5 8 3" xfId="6347" xr:uid="{00000000-0005-0000-0000-0000D1100000}"/>
    <cellStyle name="Normal 2 4 5 8 3 2" xfId="15673" xr:uid="{2CD4A89A-49ED-49F7-B87E-76C1E65CCA45}"/>
    <cellStyle name="Normal 2 4 5 8 4" xfId="11456" xr:uid="{C2D452C9-88F2-4683-B245-61DC4A2A0A15}"/>
    <cellStyle name="Normal 2 4 5 9" xfId="2477" xr:uid="{00000000-0005-0000-0000-0000D2100000}"/>
    <cellStyle name="Normal 2 4 5 9 2" xfId="6760" xr:uid="{00000000-0005-0000-0000-0000D3100000}"/>
    <cellStyle name="Normal 2 4 5 9 2 2" xfId="16086" xr:uid="{F854CFDC-B8C8-476C-809D-D0A3BBCC2B1D}"/>
    <cellStyle name="Normal 2 4 5 9 3" xfId="11869" xr:uid="{1BF27692-DAF0-4835-A4E2-4F879CE79E02}"/>
    <cellStyle name="Normal 2 4 6" xfId="311" xr:uid="{00000000-0005-0000-0000-0000D4100000}"/>
    <cellStyle name="Normal 2 4 7" xfId="312" xr:uid="{00000000-0005-0000-0000-0000D5100000}"/>
    <cellStyle name="Normal 2 4 7 10" xfId="9811" xr:uid="{A6BC82F2-A1F6-4D0A-89A0-C710B701EF08}"/>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A9DF7B5B-322E-44ED-B743-F542BF8EAE98}"/>
    <cellStyle name="Normal 2 4 7 2 2 2 3" xfId="12371" xr:uid="{F9AAF761-02C4-4DF1-B487-C31889FE0F9D}"/>
    <cellStyle name="Normal 2 4 7 2 2 3" xfId="5117" xr:uid="{00000000-0005-0000-0000-0000DA100000}"/>
    <cellStyle name="Normal 2 4 7 2 2 3 2" xfId="14443" xr:uid="{9068412F-C4C2-470A-AC47-81C09EEB7AF2}"/>
    <cellStyle name="Normal 2 4 7 2 2 4" xfId="9483" xr:uid="{3D7EFF6F-050D-4214-91CB-DF2673F23584}"/>
    <cellStyle name="Normal 2 4 7 2 2 4 2" xfId="18798" xr:uid="{8E6ABA25-4AC6-463B-A28D-53F8A717D7C7}"/>
    <cellStyle name="Normal 2 4 7 2 2 5" xfId="10226" xr:uid="{780B5078-400B-48BE-944F-0DCBB604C78B}"/>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7A7A6B03-A445-4513-A711-930BBD295655}"/>
    <cellStyle name="Normal 2 4 7 2 3 2 3" xfId="12784" xr:uid="{3C3746F5-2B57-497F-A3A9-756922187A6C}"/>
    <cellStyle name="Normal 2 4 7 2 3 3" xfId="5530" xr:uid="{00000000-0005-0000-0000-0000DE100000}"/>
    <cellStyle name="Normal 2 4 7 2 3 3 2" xfId="14856" xr:uid="{2A0153C6-A679-4DDC-92A5-81413EE0516C}"/>
    <cellStyle name="Normal 2 4 7 2 3 4" xfId="10639" xr:uid="{F33D1028-6F71-4239-8881-8CD6AD23378D}"/>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2AB91BC0-A030-44B8-B30B-2AC5597F5E0C}"/>
    <cellStyle name="Normal 2 4 7 2 4 2 3" xfId="13197" xr:uid="{726B6A49-4BC9-42D2-8ABF-0006A735D763}"/>
    <cellStyle name="Normal 2 4 7 2 4 3" xfId="5943" xr:uid="{00000000-0005-0000-0000-0000E2100000}"/>
    <cellStyle name="Normal 2 4 7 2 4 3 2" xfId="15269" xr:uid="{A45F6BD4-3B12-46F5-8CE3-FAC0655F917D}"/>
    <cellStyle name="Normal 2 4 7 2 4 4" xfId="11052" xr:uid="{A1738D0B-F1E8-4E4A-AF9A-EEF84158DB45}"/>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7169471F-BC91-49CE-8BE8-6C171F449A1E}"/>
    <cellStyle name="Normal 2 4 7 2 5 2 3" xfId="13610" xr:uid="{9FDCEEBC-57E0-4450-8537-1E2CFA6DCB66}"/>
    <cellStyle name="Normal 2 4 7 2 5 3" xfId="6356" xr:uid="{00000000-0005-0000-0000-0000E6100000}"/>
    <cellStyle name="Normal 2 4 7 2 5 3 2" xfId="15682" xr:uid="{B1381454-4E59-4120-B1F0-74E65BEBD1C7}"/>
    <cellStyle name="Normal 2 4 7 2 5 4" xfId="11465" xr:uid="{FFE6348D-97AD-4AC9-AD3A-CB13A213F4F0}"/>
    <cellStyle name="Normal 2 4 7 2 6" xfId="2486" xr:uid="{00000000-0005-0000-0000-0000E7100000}"/>
    <cellStyle name="Normal 2 4 7 2 6 2" xfId="6769" xr:uid="{00000000-0005-0000-0000-0000E8100000}"/>
    <cellStyle name="Normal 2 4 7 2 6 2 2" xfId="16095" xr:uid="{5D59CA9E-B680-47AF-B602-0E7A7690CD36}"/>
    <cellStyle name="Normal 2 4 7 2 6 3" xfId="11878" xr:uid="{14444EEB-F802-4B46-A291-DE573585FFDB}"/>
    <cellStyle name="Normal 2 4 7 2 7" xfId="4703" xr:uid="{00000000-0005-0000-0000-0000E9100000}"/>
    <cellStyle name="Normal 2 4 7 2 7 2" xfId="14029" xr:uid="{2325DA11-56D6-4122-A702-E5F18E8AE48D}"/>
    <cellStyle name="Normal 2 4 7 2 8" xfId="9058" xr:uid="{FCEC438E-EF6A-4A00-BFE3-0DA309169A82}"/>
    <cellStyle name="Normal 2 4 7 2 8 2" xfId="18382" xr:uid="{B5884C87-C529-4926-9356-89ADC34D6EC4}"/>
    <cellStyle name="Normal 2 4 7 2 9" xfId="9812" xr:uid="{2B995C8B-509F-497D-A618-0F5D6E2E310C}"/>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C5A482EC-B0A2-496E-B9FD-E3EBFCBC8CF7}"/>
    <cellStyle name="Normal 2 4 7 3 2 3" xfId="12370" xr:uid="{F8672C2F-F92B-486E-9F64-54B793BA401C}"/>
    <cellStyle name="Normal 2 4 7 3 3" xfId="5116" xr:uid="{00000000-0005-0000-0000-0000ED100000}"/>
    <cellStyle name="Normal 2 4 7 3 3 2" xfId="14442" xr:uid="{6ADEE3D9-2C79-4728-A4CD-86BA9027002E}"/>
    <cellStyle name="Normal 2 4 7 3 4" xfId="9276" xr:uid="{90A81E61-1719-41E4-8673-7681E805C2E0}"/>
    <cellStyle name="Normal 2 4 7 3 4 2" xfId="18591" xr:uid="{8A83FA97-387D-47D9-A884-2C8CA0463C0B}"/>
    <cellStyle name="Normal 2 4 7 3 5" xfId="10225" xr:uid="{0BC5499A-75B9-40A8-A801-C08F330212FE}"/>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F1DF61C5-283C-4962-B09A-3D0452C7BB6B}"/>
    <cellStyle name="Normal 2 4 7 4 2 3" xfId="12783" xr:uid="{BAA77F0F-1375-43EB-AEBC-D499731FAF0C}"/>
    <cellStyle name="Normal 2 4 7 4 3" xfId="5529" xr:uid="{00000000-0005-0000-0000-0000F1100000}"/>
    <cellStyle name="Normal 2 4 7 4 3 2" xfId="14855" xr:uid="{4BC6888F-25F6-4606-B1AD-3E94FBBF320D}"/>
    <cellStyle name="Normal 2 4 7 4 4" xfId="10638" xr:uid="{511D80FE-65DB-4382-9B2C-BD03C73807DD}"/>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40AD3B0B-0E35-4C6D-8463-8103805DBA18}"/>
    <cellStyle name="Normal 2 4 7 5 2 3" xfId="13196" xr:uid="{62C1FE92-C0BA-4D8D-A85A-A4C28BBC87D0}"/>
    <cellStyle name="Normal 2 4 7 5 3" xfId="5942" xr:uid="{00000000-0005-0000-0000-0000F5100000}"/>
    <cellStyle name="Normal 2 4 7 5 3 2" xfId="15268" xr:uid="{669E55AD-9737-4D06-9DDF-55734CFC692A}"/>
    <cellStyle name="Normal 2 4 7 5 4" xfId="11051" xr:uid="{98AE1698-82E8-48BE-BE9D-C6775DAEF41A}"/>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9DE0CE44-CB5C-4FC5-BCE3-4FE34A038512}"/>
    <cellStyle name="Normal 2 4 7 6 2 3" xfId="13609" xr:uid="{B8B860DF-980A-416D-BD68-FC89BFF2AFA5}"/>
    <cellStyle name="Normal 2 4 7 6 3" xfId="6355" xr:uid="{00000000-0005-0000-0000-0000F9100000}"/>
    <cellStyle name="Normal 2 4 7 6 3 2" xfId="15681" xr:uid="{52AC8B2A-C92D-4290-9A7A-8548C4E536FE}"/>
    <cellStyle name="Normal 2 4 7 6 4" xfId="11464" xr:uid="{7FBC05A1-A5DE-4C2C-B11F-A10A768DF09E}"/>
    <cellStyle name="Normal 2 4 7 7" xfId="2485" xr:uid="{00000000-0005-0000-0000-0000FA100000}"/>
    <cellStyle name="Normal 2 4 7 7 2" xfId="6768" xr:uid="{00000000-0005-0000-0000-0000FB100000}"/>
    <cellStyle name="Normal 2 4 7 7 2 2" xfId="16094" xr:uid="{AA718168-0D20-4F93-A458-DED741FA4AD0}"/>
    <cellStyle name="Normal 2 4 7 7 3" xfId="11877" xr:uid="{E0FF784B-B95D-4FF9-912A-FCBE0FD0A30A}"/>
    <cellStyle name="Normal 2 4 7 8" xfId="4702" xr:uid="{00000000-0005-0000-0000-0000FC100000}"/>
    <cellStyle name="Normal 2 4 7 8 2" xfId="14028" xr:uid="{F99B2F18-5CBB-4530-BCBB-ED41563AA35E}"/>
    <cellStyle name="Normal 2 4 7 9" xfId="8851" xr:uid="{6946A6C1-9296-4D8F-B36F-8F7964FD7AC6}"/>
    <cellStyle name="Normal 2 4 7 9 2" xfId="18175" xr:uid="{F8295561-CE4F-4A0B-9D67-0122529CCDCB}"/>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3F134D6D-167A-48A3-83F1-601CA1B9A127}"/>
    <cellStyle name="Normal 2 4 8 2 2 3" xfId="12372" xr:uid="{37B1FC93-32D6-432A-B199-8FF0B28AE576}"/>
    <cellStyle name="Normal 2 4 8 2 3" xfId="5118" xr:uid="{00000000-0005-0000-0000-000001110000}"/>
    <cellStyle name="Normal 2 4 8 2 3 2" xfId="14444" xr:uid="{BB4CDA8C-8DA5-43DD-9DF7-045AC482DBCA}"/>
    <cellStyle name="Normal 2 4 8 2 4" xfId="9392" xr:uid="{812B973E-E5C9-43CD-85B0-C8CA30BD9BF3}"/>
    <cellStyle name="Normal 2 4 8 2 4 2" xfId="18707" xr:uid="{3CF5F32A-C899-4822-A30F-34BFBB42F59A}"/>
    <cellStyle name="Normal 2 4 8 2 5" xfId="10227" xr:uid="{E39BC17F-156F-40E6-A6D8-D18B5E80DA7F}"/>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984196BA-16A0-44E0-9324-85EE61B882B9}"/>
    <cellStyle name="Normal 2 4 8 3 2 3" xfId="12785" xr:uid="{B052E9F4-122E-44C7-B709-64F59B8796AB}"/>
    <cellStyle name="Normal 2 4 8 3 3" xfId="5531" xr:uid="{00000000-0005-0000-0000-000005110000}"/>
    <cellStyle name="Normal 2 4 8 3 3 2" xfId="14857" xr:uid="{3F85D33B-D6EB-41B7-B16C-985B8D1CC544}"/>
    <cellStyle name="Normal 2 4 8 3 4" xfId="10640" xr:uid="{DEBDA40F-DC7C-4E07-8266-FB281383D511}"/>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B6A61661-38B7-4C28-89CB-B20D6EC7275A}"/>
    <cellStyle name="Normal 2 4 8 4 2 3" xfId="13198" xr:uid="{20F75474-E8CD-4AAD-80AA-FBC87CABA833}"/>
    <cellStyle name="Normal 2 4 8 4 3" xfId="5944" xr:uid="{00000000-0005-0000-0000-000009110000}"/>
    <cellStyle name="Normal 2 4 8 4 3 2" xfId="15270" xr:uid="{F7E47096-AC81-43E9-909E-BE2220BD8571}"/>
    <cellStyle name="Normal 2 4 8 4 4" xfId="11053" xr:uid="{0C0A9D3C-1AC1-4693-BF8F-251FCD064395}"/>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0329423A-4539-4565-9603-242EB9A04FBF}"/>
    <cellStyle name="Normal 2 4 8 5 2 3" xfId="13611" xr:uid="{47818666-0603-4CC6-9F28-925B5F4405AB}"/>
    <cellStyle name="Normal 2 4 8 5 3" xfId="6357" xr:uid="{00000000-0005-0000-0000-00000D110000}"/>
    <cellStyle name="Normal 2 4 8 5 3 2" xfId="15683" xr:uid="{834AA4EA-E4C6-4CEE-9B3C-3F96EC7D516B}"/>
    <cellStyle name="Normal 2 4 8 5 4" xfId="11466" xr:uid="{8457BB3F-5670-4002-BEA1-A142A81D0BBC}"/>
    <cellStyle name="Normal 2 4 8 6" xfId="2487" xr:uid="{00000000-0005-0000-0000-00000E110000}"/>
    <cellStyle name="Normal 2 4 8 6 2" xfId="6770" xr:uid="{00000000-0005-0000-0000-00000F110000}"/>
    <cellStyle name="Normal 2 4 8 6 2 2" xfId="16096" xr:uid="{C91A1120-24C3-4EC3-9DC1-232F6A8D3E01}"/>
    <cellStyle name="Normal 2 4 8 6 3" xfId="11879" xr:uid="{9DF5AE20-5F1B-4D5A-B7D7-45BBE563706A}"/>
    <cellStyle name="Normal 2 4 8 7" xfId="4704" xr:uid="{00000000-0005-0000-0000-000010110000}"/>
    <cellStyle name="Normal 2 4 8 7 2" xfId="14030" xr:uid="{1BF83D57-1558-4900-A5CF-FFA449B1D61C}"/>
    <cellStyle name="Normal 2 4 8 8" xfId="8967" xr:uid="{32AC97CD-D3FD-4AE1-A8B2-07BEA9D5DE52}"/>
    <cellStyle name="Normal 2 4 8 8 2" xfId="18291" xr:uid="{3DCAAA33-0952-4F71-9E54-6C5B92D6DB7F}"/>
    <cellStyle name="Normal 2 4 8 9" xfId="9813" xr:uid="{8DE72D1F-B63E-4EDA-969D-97C46D3A9104}"/>
    <cellStyle name="Normal 2 4 9" xfId="9170" xr:uid="{5569C060-E090-4551-A44D-517EC3FD1834}"/>
    <cellStyle name="Normal 2 4 9 2" xfId="18488" xr:uid="{FF89BECA-F4C5-4E89-B997-61B0236F9B65}"/>
    <cellStyle name="Normal 2 5" xfId="315" xr:uid="{00000000-0005-0000-0000-000011110000}"/>
    <cellStyle name="Normal 2 5 10" xfId="4705" xr:uid="{00000000-0005-0000-0000-000012110000}"/>
    <cellStyle name="Normal 2 5 10 2" xfId="14031" xr:uid="{A74B76F9-4750-46D6-88DD-A0D8C1C1F0F7}"/>
    <cellStyle name="Normal 2 5 11" xfId="9814" xr:uid="{5670D067-E276-4658-9DA8-2AD233449AED}"/>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ED8DB972-849C-40FF-8D27-7582E09B0398}"/>
    <cellStyle name="Normal 2 5 4 11" xfId="9815" xr:uid="{88927FE2-879A-4F15-9263-6F03995963C8}"/>
    <cellStyle name="Normal 2 5 4 2" xfId="319" xr:uid="{00000000-0005-0000-0000-000016110000}"/>
    <cellStyle name="Normal 2 5 4 2 10" xfId="9816" xr:uid="{9DE79D5F-B84C-4056-9F38-A9D7154838D2}"/>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B590B460-1E21-4D2E-A2DD-F3AF62FDFAE7}"/>
    <cellStyle name="Normal 2 5 4 2 2 2 2 3" xfId="12376" xr:uid="{DAD43A95-F4D6-4BE7-B975-B50695C26C4B}"/>
    <cellStyle name="Normal 2 5 4 2 2 2 3" xfId="5122" xr:uid="{00000000-0005-0000-0000-00001B110000}"/>
    <cellStyle name="Normal 2 5 4 2 2 2 3 2" xfId="14448" xr:uid="{E7170A69-54D4-4C7E-BFB1-DDE393DE34A8}"/>
    <cellStyle name="Normal 2 5 4 2 2 2 4" xfId="9551" xr:uid="{392D7741-6781-4EA5-9C28-040053C1B05B}"/>
    <cellStyle name="Normal 2 5 4 2 2 2 4 2" xfId="18866" xr:uid="{A4D16591-3684-4806-8CD1-ECC6655DF1EB}"/>
    <cellStyle name="Normal 2 5 4 2 2 2 5" xfId="10231" xr:uid="{E9171D2F-9510-454A-B0BA-CB5C116652B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9B789BDF-2EAC-4F18-9515-FDBD7334896B}"/>
    <cellStyle name="Normal 2 5 4 2 2 3 2 3" xfId="12789" xr:uid="{0213CCC1-0678-4AA0-942D-76505A972691}"/>
    <cellStyle name="Normal 2 5 4 2 2 3 3" xfId="5535" xr:uid="{00000000-0005-0000-0000-00001F110000}"/>
    <cellStyle name="Normal 2 5 4 2 2 3 3 2" xfId="14861" xr:uid="{CFBE223D-28EF-4952-BE8B-CFA34A7658A9}"/>
    <cellStyle name="Normal 2 5 4 2 2 3 4" xfId="10644" xr:uid="{008B77B1-FC97-4F30-A7A5-4F0E84C5E1AF}"/>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C1258E30-57C5-4112-94E2-4D5505BB728E}"/>
    <cellStyle name="Normal 2 5 4 2 2 4 2 3" xfId="13202" xr:uid="{E86BB914-CC36-4FF3-BC4E-7A41409A7C30}"/>
    <cellStyle name="Normal 2 5 4 2 2 4 3" xfId="5948" xr:uid="{00000000-0005-0000-0000-000023110000}"/>
    <cellStyle name="Normal 2 5 4 2 2 4 3 2" xfId="15274" xr:uid="{9DBA3DD2-791F-48C9-B8E1-D29D44E79F54}"/>
    <cellStyle name="Normal 2 5 4 2 2 4 4" xfId="11057" xr:uid="{4997C3D7-E116-43B5-9794-0F8D3A39878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E66D3563-1C75-4BDB-BDCE-979E3AE34675}"/>
    <cellStyle name="Normal 2 5 4 2 2 5 2 3" xfId="13615" xr:uid="{CB15D59C-2FB8-482C-B6F2-917070B9EA31}"/>
    <cellStyle name="Normal 2 5 4 2 2 5 3" xfId="6361" xr:uid="{00000000-0005-0000-0000-000027110000}"/>
    <cellStyle name="Normal 2 5 4 2 2 5 3 2" xfId="15687" xr:uid="{15589EA8-5B0B-40F7-B43C-26B1420A799B}"/>
    <cellStyle name="Normal 2 5 4 2 2 5 4" xfId="11470" xr:uid="{3B1ABA18-E4AE-4C42-B314-DCDCA370CFC0}"/>
    <cellStyle name="Normal 2 5 4 2 2 6" xfId="2491" xr:uid="{00000000-0005-0000-0000-000028110000}"/>
    <cellStyle name="Normal 2 5 4 2 2 6 2" xfId="6774" xr:uid="{00000000-0005-0000-0000-000029110000}"/>
    <cellStyle name="Normal 2 5 4 2 2 6 2 2" xfId="16100" xr:uid="{2889A0C7-C456-496A-9779-72163DA9136D}"/>
    <cellStyle name="Normal 2 5 4 2 2 6 3" xfId="11883" xr:uid="{4D971BA8-98BB-4EEC-A100-354B5DFE3E9F}"/>
    <cellStyle name="Normal 2 5 4 2 2 7" xfId="4708" xr:uid="{00000000-0005-0000-0000-00002A110000}"/>
    <cellStyle name="Normal 2 5 4 2 2 7 2" xfId="14034" xr:uid="{6AF942B9-C606-4A51-A0DE-060FC403065E}"/>
    <cellStyle name="Normal 2 5 4 2 2 8" xfId="9126" xr:uid="{C2CF4AFD-4082-4555-941B-6E9759C32D63}"/>
    <cellStyle name="Normal 2 5 4 2 2 8 2" xfId="18450" xr:uid="{2C923433-7B67-423A-9C89-8F42804E9943}"/>
    <cellStyle name="Normal 2 5 4 2 2 9" xfId="9817" xr:uid="{9761C6A8-BDBB-4AE6-87F9-6B88EA2F29E1}"/>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54BFAAB5-97C5-4C11-B2DF-B0E3B6E32966}"/>
    <cellStyle name="Normal 2 5 4 2 3 2 3" xfId="12375" xr:uid="{C7294560-05DA-4FF8-8D88-6EEBB94E6EBA}"/>
    <cellStyle name="Normal 2 5 4 2 3 3" xfId="5121" xr:uid="{00000000-0005-0000-0000-00002E110000}"/>
    <cellStyle name="Normal 2 5 4 2 3 3 2" xfId="14447" xr:uid="{13EBAB92-C4C2-46AA-896F-A6519B371376}"/>
    <cellStyle name="Normal 2 5 4 2 3 4" xfId="9344" xr:uid="{207B8A34-09D9-4349-A9C7-5A5A998C6B6F}"/>
    <cellStyle name="Normal 2 5 4 2 3 4 2" xfId="18659" xr:uid="{6652C578-6AE7-4A9C-918B-BF262BD3DCD4}"/>
    <cellStyle name="Normal 2 5 4 2 3 5" xfId="10230" xr:uid="{0D88AED4-20BC-49C3-89A4-DBA4AAA54F54}"/>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761FC590-5ECF-45FE-B722-CB33B2A50B2B}"/>
    <cellStyle name="Normal 2 5 4 2 4 2 3" xfId="12788" xr:uid="{994A8547-2CDE-4CE7-94F7-49CBF7E3E9F3}"/>
    <cellStyle name="Normal 2 5 4 2 4 3" xfId="5534" xr:uid="{00000000-0005-0000-0000-000032110000}"/>
    <cellStyle name="Normal 2 5 4 2 4 3 2" xfId="14860" xr:uid="{9B2224B9-8F0E-4477-B388-C199FD83002D}"/>
    <cellStyle name="Normal 2 5 4 2 4 4" xfId="10643" xr:uid="{57AD1E2F-4025-4210-9CD0-A7B66EF4C49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2E91E0FE-F789-4CEC-B776-D45090ED7034}"/>
    <cellStyle name="Normal 2 5 4 2 5 2 3" xfId="13201" xr:uid="{D5B8A136-B8E0-46F1-B45F-59BFE13B8D7B}"/>
    <cellStyle name="Normal 2 5 4 2 5 3" xfId="5947" xr:uid="{00000000-0005-0000-0000-000036110000}"/>
    <cellStyle name="Normal 2 5 4 2 5 3 2" xfId="15273" xr:uid="{F5AFE4F0-CFC1-49B5-A2AD-8AB32689535D}"/>
    <cellStyle name="Normal 2 5 4 2 5 4" xfId="11056" xr:uid="{94CCA534-B376-41B1-9836-75D75E14F3EA}"/>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0B11A735-C5AE-480D-8396-985FD66E6128}"/>
    <cellStyle name="Normal 2 5 4 2 6 2 3" xfId="13614" xr:uid="{C5E282C8-DF64-4308-8510-4A12646F1C16}"/>
    <cellStyle name="Normal 2 5 4 2 6 3" xfId="6360" xr:uid="{00000000-0005-0000-0000-00003A110000}"/>
    <cellStyle name="Normal 2 5 4 2 6 3 2" xfId="15686" xr:uid="{38CC7859-0BD9-4E8B-BBD2-D5BE000457A6}"/>
    <cellStyle name="Normal 2 5 4 2 6 4" xfId="11469" xr:uid="{3BF4CDC1-ABF2-4C14-87A6-C04C5EF1397E}"/>
    <cellStyle name="Normal 2 5 4 2 7" xfId="2490" xr:uid="{00000000-0005-0000-0000-00003B110000}"/>
    <cellStyle name="Normal 2 5 4 2 7 2" xfId="6773" xr:uid="{00000000-0005-0000-0000-00003C110000}"/>
    <cellStyle name="Normal 2 5 4 2 7 2 2" xfId="16099" xr:uid="{91FE2447-D33D-4B76-B94A-05F99BFA9562}"/>
    <cellStyle name="Normal 2 5 4 2 7 3" xfId="11882" xr:uid="{5C052506-76FF-4AD9-8031-E2F309D69CD5}"/>
    <cellStyle name="Normal 2 5 4 2 8" xfId="4707" xr:uid="{00000000-0005-0000-0000-00003D110000}"/>
    <cellStyle name="Normal 2 5 4 2 8 2" xfId="14033" xr:uid="{706D44E7-3C98-41B9-A182-6C72557704E1}"/>
    <cellStyle name="Normal 2 5 4 2 9" xfId="8919" xr:uid="{2A8C96F6-0F22-4271-BCA3-7E5B2E35A54F}"/>
    <cellStyle name="Normal 2 5 4 2 9 2" xfId="18243" xr:uid="{CA0DA2D2-0AC2-44E4-9C53-1CAD1901656C}"/>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64BDCD04-ABFD-496A-AFFC-5E12B0605FA3}"/>
    <cellStyle name="Normal 2 5 4 3 2 2 3" xfId="12377" xr:uid="{C0659A9C-61F0-4DD2-B1B4-C3BD79960E83}"/>
    <cellStyle name="Normal 2 5 4 3 2 3" xfId="5123" xr:uid="{00000000-0005-0000-0000-000042110000}"/>
    <cellStyle name="Normal 2 5 4 3 2 3 2" xfId="14449" xr:uid="{AE80942D-9BC2-4FD7-B2DC-904B871AAEEF}"/>
    <cellStyle name="Normal 2 5 4 3 2 4" xfId="9448" xr:uid="{0C1738F2-697E-4430-8A3F-E67747B3EDB0}"/>
    <cellStyle name="Normal 2 5 4 3 2 4 2" xfId="18763" xr:uid="{91171160-9072-4550-BDFC-079E997E98EB}"/>
    <cellStyle name="Normal 2 5 4 3 2 5" xfId="10232" xr:uid="{DE71F5C9-2249-4FD7-89E4-725BD4CEED4A}"/>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7AFCB5FD-5207-4772-95AF-FD61B7493265}"/>
    <cellStyle name="Normal 2 5 4 3 3 2 3" xfId="12790" xr:uid="{20C98EDF-0BD5-43B7-928D-0C9CC8E09695}"/>
    <cellStyle name="Normal 2 5 4 3 3 3" xfId="5536" xr:uid="{00000000-0005-0000-0000-000046110000}"/>
    <cellStyle name="Normal 2 5 4 3 3 3 2" xfId="14862" xr:uid="{26CB7FCA-2E10-4DE5-975F-BB2EFD6260E6}"/>
    <cellStyle name="Normal 2 5 4 3 3 4" xfId="10645" xr:uid="{9E7BB65A-D863-41AA-9438-1D0D3780F514}"/>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6355D68B-3DC0-4358-9C48-914C600165C6}"/>
    <cellStyle name="Normal 2 5 4 3 4 2 3" xfId="13203" xr:uid="{5CFB7EE6-439A-47E1-9D91-47F96FE8719F}"/>
    <cellStyle name="Normal 2 5 4 3 4 3" xfId="5949" xr:uid="{00000000-0005-0000-0000-00004A110000}"/>
    <cellStyle name="Normal 2 5 4 3 4 3 2" xfId="15275" xr:uid="{83A72363-8F7D-445C-A76C-1D110F3CE708}"/>
    <cellStyle name="Normal 2 5 4 3 4 4" xfId="11058" xr:uid="{F7A43286-758F-412A-AC2F-C394AA9B4025}"/>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14FEBF28-0CD4-42B2-959F-73CD0EEBFBE7}"/>
    <cellStyle name="Normal 2 5 4 3 5 2 3" xfId="13616" xr:uid="{629585E8-DF77-45B3-A949-76D5BF844D64}"/>
    <cellStyle name="Normal 2 5 4 3 5 3" xfId="6362" xr:uid="{00000000-0005-0000-0000-00004E110000}"/>
    <cellStyle name="Normal 2 5 4 3 5 3 2" xfId="15688" xr:uid="{7D619999-F37A-4498-8770-D1524DCC7694}"/>
    <cellStyle name="Normal 2 5 4 3 5 4" xfId="11471" xr:uid="{0C84F928-0BD6-47F3-AF4B-B116E09D1D6A}"/>
    <cellStyle name="Normal 2 5 4 3 6" xfId="2492" xr:uid="{00000000-0005-0000-0000-00004F110000}"/>
    <cellStyle name="Normal 2 5 4 3 6 2" xfId="6775" xr:uid="{00000000-0005-0000-0000-000050110000}"/>
    <cellStyle name="Normal 2 5 4 3 6 2 2" xfId="16101" xr:uid="{6A9F57EB-7E3F-4592-92CC-F97159800FA5}"/>
    <cellStyle name="Normal 2 5 4 3 6 3" xfId="11884" xr:uid="{19F90A52-929B-47A7-8F81-9FEAB6C5919F}"/>
    <cellStyle name="Normal 2 5 4 3 7" xfId="4709" xr:uid="{00000000-0005-0000-0000-000051110000}"/>
    <cellStyle name="Normal 2 5 4 3 7 2" xfId="14035" xr:uid="{19E813C4-6048-4F36-B820-0DE64A96B895}"/>
    <cellStyle name="Normal 2 5 4 3 8" xfId="9023" xr:uid="{9B869639-3DD4-4511-AD70-D5125D34938F}"/>
    <cellStyle name="Normal 2 5 4 3 8 2" xfId="18347" xr:uid="{AD8ABA1D-33D5-410B-BAE1-8A253D3FAB44}"/>
    <cellStyle name="Normal 2 5 4 3 9" xfId="9818" xr:uid="{397F6555-1B86-43BA-89B7-B1B3BBE62BE1}"/>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8AE27C61-2012-4483-A17C-AD6FA53E22AE}"/>
    <cellStyle name="Normal 2 5 4 4 2 3" xfId="12374" xr:uid="{3E5D132E-D750-46D3-93DE-06BDE343D001}"/>
    <cellStyle name="Normal 2 5 4 4 3" xfId="5120" xr:uid="{00000000-0005-0000-0000-000055110000}"/>
    <cellStyle name="Normal 2 5 4 4 3 2" xfId="14446" xr:uid="{016266B6-BBE9-495C-A7E8-CD80426B47B9}"/>
    <cellStyle name="Normal 2 5 4 4 4" xfId="9241" xr:uid="{2BD2F05F-E4C9-46B4-B3C9-F0D081C1F38F}"/>
    <cellStyle name="Normal 2 5 4 4 4 2" xfId="18556" xr:uid="{CE4180BD-4284-4D24-A77F-07A384581689}"/>
    <cellStyle name="Normal 2 5 4 4 5" xfId="10229" xr:uid="{AF47F86F-0383-4CCA-8DCF-D016D082ED32}"/>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2E8528BE-E583-43FC-8161-3BC82FA4DD75}"/>
    <cellStyle name="Normal 2 5 4 5 2 3" xfId="12787" xr:uid="{49C45933-B755-4B63-84F4-39793AC66D45}"/>
    <cellStyle name="Normal 2 5 4 5 3" xfId="5533" xr:uid="{00000000-0005-0000-0000-000059110000}"/>
    <cellStyle name="Normal 2 5 4 5 3 2" xfId="14859" xr:uid="{964334B2-FF5F-4EAE-AFD0-7D8DBD96AA1C}"/>
    <cellStyle name="Normal 2 5 4 5 4" xfId="10642" xr:uid="{F3720D64-E0AB-4171-A157-8EA8C58B87D7}"/>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0E7C19F4-F4E2-4BE6-8FB9-D4BCA1849E60}"/>
    <cellStyle name="Normal 2 5 4 6 2 3" xfId="13200" xr:uid="{B6BE93AF-9226-45DD-8D5B-EAA2E958AC07}"/>
    <cellStyle name="Normal 2 5 4 6 3" xfId="5946" xr:uid="{00000000-0005-0000-0000-00005D110000}"/>
    <cellStyle name="Normal 2 5 4 6 3 2" xfId="15272" xr:uid="{DE2E35A5-DE60-42A1-B908-9FDC612E8291}"/>
    <cellStyle name="Normal 2 5 4 6 4" xfId="11055" xr:uid="{0146EF93-5EA2-4515-A9F7-7564DC7249F1}"/>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9111491A-9905-431F-AFEF-F1842D8BA7B1}"/>
    <cellStyle name="Normal 2 5 4 7 2 3" xfId="13613" xr:uid="{B41D88AE-10E5-43C9-A103-1063031B9F3B}"/>
    <cellStyle name="Normal 2 5 4 7 3" xfId="6359" xr:uid="{00000000-0005-0000-0000-000061110000}"/>
    <cellStyle name="Normal 2 5 4 7 3 2" xfId="15685" xr:uid="{6B8303B0-83B0-421F-A65D-1C7A0B572BA9}"/>
    <cellStyle name="Normal 2 5 4 7 4" xfId="11468" xr:uid="{2824EF2A-E24B-4AE2-9E80-DAF7BC38AC88}"/>
    <cellStyle name="Normal 2 5 4 8" xfId="2489" xr:uid="{00000000-0005-0000-0000-000062110000}"/>
    <cellStyle name="Normal 2 5 4 8 2" xfId="6772" xr:uid="{00000000-0005-0000-0000-000063110000}"/>
    <cellStyle name="Normal 2 5 4 8 2 2" xfId="16098" xr:uid="{5CC6013C-0890-4640-A56C-32323FBBBDBB}"/>
    <cellStyle name="Normal 2 5 4 8 3" xfId="11881" xr:uid="{F720462C-1912-4910-BE0F-5C32C990ED87}"/>
    <cellStyle name="Normal 2 5 4 9" xfId="4706" xr:uid="{00000000-0005-0000-0000-000064110000}"/>
    <cellStyle name="Normal 2 5 4 9 2" xfId="14032" xr:uid="{C9926AB5-7E6A-4967-AC9A-9E2A5868AE3D}"/>
    <cellStyle name="Normal 2 5 5" xfId="803" xr:uid="{00000000-0005-0000-0000-000065110000}"/>
    <cellStyle name="Normal 2 5 5 2" xfId="3042" xr:uid="{00000000-0005-0000-0000-000066110000}"/>
    <cellStyle name="Normal 2 5 5 2 2" xfId="7264" xr:uid="{00000000-0005-0000-0000-000067110000}"/>
    <cellStyle name="Normal 2 5 5 2 2 2" xfId="16590" xr:uid="{C87F7849-9CF1-4896-998F-2F73919E71B7}"/>
    <cellStyle name="Normal 2 5 5 2 3" xfId="12373" xr:uid="{349F0CB7-E7A0-4065-9DE3-078FEE135743}"/>
    <cellStyle name="Normal 2 5 5 3" xfId="5119" xr:uid="{00000000-0005-0000-0000-000068110000}"/>
    <cellStyle name="Normal 2 5 5 3 2" xfId="14445" xr:uid="{8A6E01C2-1DA9-43D2-BB5D-2DE40FB945F1}"/>
    <cellStyle name="Normal 2 5 5 4" xfId="9606" xr:uid="{3AE4D77A-44EE-40C2-9F71-05FBDE2746B2}"/>
    <cellStyle name="Normal 2 5 5 4 2" xfId="18907" xr:uid="{A8B80AA9-4663-404F-98B7-A88E7F0DC426}"/>
    <cellStyle name="Normal 2 5 5 5" xfId="10228" xr:uid="{6DAA483C-E1A9-4217-88CD-0CC115F51CDB}"/>
    <cellStyle name="Normal 2 5 6" xfId="1225" xr:uid="{00000000-0005-0000-0000-000069110000}"/>
    <cellStyle name="Normal 2 5 6 2" xfId="3455" xr:uid="{00000000-0005-0000-0000-00006A110000}"/>
    <cellStyle name="Normal 2 5 6 2 2" xfId="7677" xr:uid="{00000000-0005-0000-0000-00006B110000}"/>
    <cellStyle name="Normal 2 5 6 2 2 2" xfId="17003" xr:uid="{1D62D3FD-190D-4449-BA0D-EA284950C261}"/>
    <cellStyle name="Normal 2 5 6 2 3" xfId="12786" xr:uid="{B2F90D98-26F4-4018-BCF2-B8CD7B79C601}"/>
    <cellStyle name="Normal 2 5 6 3" xfId="5532" xr:uid="{00000000-0005-0000-0000-00006C110000}"/>
    <cellStyle name="Normal 2 5 6 3 2" xfId="14858" xr:uid="{A9E2045B-77D1-4C8F-B90E-D5338C78AC56}"/>
    <cellStyle name="Normal 2 5 6 4" xfId="10641" xr:uid="{68E24C44-A0F1-4D7A-8F48-80815C0026CB}"/>
    <cellStyle name="Normal 2 5 7" xfId="1638" xr:uid="{00000000-0005-0000-0000-00006D110000}"/>
    <cellStyle name="Normal 2 5 7 2" xfId="3868" xr:uid="{00000000-0005-0000-0000-00006E110000}"/>
    <cellStyle name="Normal 2 5 7 2 2" xfId="8090" xr:uid="{00000000-0005-0000-0000-00006F110000}"/>
    <cellStyle name="Normal 2 5 7 2 2 2" xfId="17416" xr:uid="{E5C4E58F-69C6-4816-8D89-47E550ED3C4E}"/>
    <cellStyle name="Normal 2 5 7 2 3" xfId="13199" xr:uid="{FDD72AC4-8613-436D-A536-287F1BF98965}"/>
    <cellStyle name="Normal 2 5 7 3" xfId="5945" xr:uid="{00000000-0005-0000-0000-000070110000}"/>
    <cellStyle name="Normal 2 5 7 3 2" xfId="15271" xr:uid="{DC1CEE05-7115-4940-A76D-E9F5B829E397}"/>
    <cellStyle name="Normal 2 5 7 4" xfId="11054" xr:uid="{50321D36-B148-4BF0-9B2B-F79C75371B5C}"/>
    <cellStyle name="Normal 2 5 8" xfId="2052" xr:uid="{00000000-0005-0000-0000-000071110000}"/>
    <cellStyle name="Normal 2 5 8 2" xfId="4281" xr:uid="{00000000-0005-0000-0000-000072110000}"/>
    <cellStyle name="Normal 2 5 8 2 2" xfId="8503" xr:uid="{00000000-0005-0000-0000-000073110000}"/>
    <cellStyle name="Normal 2 5 8 2 2 2" xfId="17829" xr:uid="{2ACE8B9C-B020-447C-9247-04747E2BE20D}"/>
    <cellStyle name="Normal 2 5 8 2 3" xfId="13612" xr:uid="{6F3D7FF2-039B-449E-AA50-2FC582CB40EC}"/>
    <cellStyle name="Normal 2 5 8 3" xfId="6358" xr:uid="{00000000-0005-0000-0000-000074110000}"/>
    <cellStyle name="Normal 2 5 8 3 2" xfId="15684" xr:uid="{A675AA0E-9D1C-46DD-AF0F-81CC09B4C24C}"/>
    <cellStyle name="Normal 2 5 8 4" xfId="11467" xr:uid="{04A3B067-91DA-4DE1-9F84-1C2EA93EA235}"/>
    <cellStyle name="Normal 2 5 9" xfId="2488" xr:uid="{00000000-0005-0000-0000-000075110000}"/>
    <cellStyle name="Normal 2 5 9 2" xfId="6771" xr:uid="{00000000-0005-0000-0000-000076110000}"/>
    <cellStyle name="Normal 2 5 9 2 2" xfId="16097" xr:uid="{C28E990B-C16D-476B-B34A-803FB0D94E76}"/>
    <cellStyle name="Normal 2 5 9 3" xfId="11880" xr:uid="{F5DBB7AD-414C-4062-B6EF-1F3EE3E67E32}"/>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9A6CD4A5-0B44-4031-A3BB-A2CAE595BC2E}"/>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571DE011-1CA3-4C6F-8B36-6645E697C7B1}"/>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FE28C340-D921-4C4B-82B5-43FFFAE6127D}"/>
    <cellStyle name="Normal 3 2 3 11" xfId="9820" xr:uid="{432403D7-B85A-4450-9544-856023486190}"/>
    <cellStyle name="Normal 3 2 3 2" xfId="327" xr:uid="{00000000-0005-0000-0000-00007F110000}"/>
    <cellStyle name="Normal 3 2 3 2 10" xfId="9821" xr:uid="{9E57D47E-A303-44C3-B2D5-AC9BD89CCF7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45D1A46F-D9DB-48DA-9244-82DE612D3E75}"/>
    <cellStyle name="Normal 3 2 3 2 2 2 2 3" xfId="12381" xr:uid="{82F44F34-D9A4-462C-B959-ED96949EF2A4}"/>
    <cellStyle name="Normal 3 2 3 2 2 2 3" xfId="5127" xr:uid="{00000000-0005-0000-0000-000084110000}"/>
    <cellStyle name="Normal 3 2 3 2 2 2 3 2" xfId="14453" xr:uid="{787BE1A2-3CDA-4639-887D-5779DDE3B1C8}"/>
    <cellStyle name="Normal 3 2 3 2 2 2 4" xfId="9552" xr:uid="{54198C1B-8B77-4C07-BFED-28C4D4E00A0C}"/>
    <cellStyle name="Normal 3 2 3 2 2 2 4 2" xfId="18867" xr:uid="{CFF8D51A-4821-42A3-9201-180884E697FB}"/>
    <cellStyle name="Normal 3 2 3 2 2 2 5" xfId="10236" xr:uid="{98192F3E-2A9C-410C-AD81-9B2F99DFE1F6}"/>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A4B13E00-CAC9-43D4-9F50-77E937C7D50D}"/>
    <cellStyle name="Normal 3 2 3 2 2 3 2 3" xfId="12794" xr:uid="{D0BEDFE7-45B6-43D3-A66A-005FA7B2D8EF}"/>
    <cellStyle name="Normal 3 2 3 2 2 3 3" xfId="5540" xr:uid="{00000000-0005-0000-0000-000088110000}"/>
    <cellStyle name="Normal 3 2 3 2 2 3 3 2" xfId="14866" xr:uid="{9D17873F-A351-4DCE-9B29-EE645E5A0832}"/>
    <cellStyle name="Normal 3 2 3 2 2 3 4" xfId="10649" xr:uid="{C6C4C687-0B98-4005-96E3-F0B47E3D4F9F}"/>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B8104C4C-CF8C-47AB-985A-EDA55C452473}"/>
    <cellStyle name="Normal 3 2 3 2 2 4 2 3" xfId="13207" xr:uid="{58AD1A15-9D4F-47DC-BD14-9C52AF11EA56}"/>
    <cellStyle name="Normal 3 2 3 2 2 4 3" xfId="5953" xr:uid="{00000000-0005-0000-0000-00008C110000}"/>
    <cellStyle name="Normal 3 2 3 2 2 4 3 2" xfId="15279" xr:uid="{6550C32F-BF1E-4737-9F68-B77E2EAB827F}"/>
    <cellStyle name="Normal 3 2 3 2 2 4 4" xfId="11062" xr:uid="{7AB0C381-AD70-4B5E-BDFF-89D101EE2D3F}"/>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6E251459-3982-4385-9F0F-677DEF9CD724}"/>
    <cellStyle name="Normal 3 2 3 2 2 5 2 3" xfId="13620" xr:uid="{10989F21-31E4-40C1-808B-2AC76BC135D5}"/>
    <cellStyle name="Normal 3 2 3 2 2 5 3" xfId="6366" xr:uid="{00000000-0005-0000-0000-000090110000}"/>
    <cellStyle name="Normal 3 2 3 2 2 5 3 2" xfId="15692" xr:uid="{722B7816-F5DE-4059-91DA-CD67E063225D}"/>
    <cellStyle name="Normal 3 2 3 2 2 5 4" xfId="11475" xr:uid="{C2D5F910-C50B-4F97-8687-90731832DAD5}"/>
    <cellStyle name="Normal 3 2 3 2 2 6" xfId="2496" xr:uid="{00000000-0005-0000-0000-000091110000}"/>
    <cellStyle name="Normal 3 2 3 2 2 6 2" xfId="6779" xr:uid="{00000000-0005-0000-0000-000092110000}"/>
    <cellStyle name="Normal 3 2 3 2 2 6 2 2" xfId="16105" xr:uid="{8DFBF63D-699B-43B8-85E6-557F3A939985}"/>
    <cellStyle name="Normal 3 2 3 2 2 6 3" xfId="11888" xr:uid="{0E5A6ADA-B43F-4E26-B738-C6FF408FE787}"/>
    <cellStyle name="Normal 3 2 3 2 2 7" xfId="4713" xr:uid="{00000000-0005-0000-0000-000093110000}"/>
    <cellStyle name="Normal 3 2 3 2 2 7 2" xfId="14039" xr:uid="{60343BA6-FCCD-4186-A210-8A4F9ECDF3F2}"/>
    <cellStyle name="Normal 3 2 3 2 2 8" xfId="9127" xr:uid="{0583B12A-AAD6-4358-9C0C-42D6EBC3DFD8}"/>
    <cellStyle name="Normal 3 2 3 2 2 8 2" xfId="18451" xr:uid="{7FDDE055-7286-4462-BDD9-D6D9CE4B2FF5}"/>
    <cellStyle name="Normal 3 2 3 2 2 9" xfId="9822" xr:uid="{C1E83406-7188-4959-8CDC-BA315204976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B3C40CE1-F529-49E2-86BD-A6D23ADC543C}"/>
    <cellStyle name="Normal 3 2 3 2 3 2 3" xfId="12380" xr:uid="{1EC99AA5-FCEE-4B5B-854F-B38089C670D5}"/>
    <cellStyle name="Normal 3 2 3 2 3 3" xfId="5126" xr:uid="{00000000-0005-0000-0000-000097110000}"/>
    <cellStyle name="Normal 3 2 3 2 3 3 2" xfId="14452" xr:uid="{BDD52AE9-B427-4EB9-BBFD-BA88AC4A6AB6}"/>
    <cellStyle name="Normal 3 2 3 2 3 4" xfId="9345" xr:uid="{C34A3811-3C7F-4E99-A17A-CCF74A426C86}"/>
    <cellStyle name="Normal 3 2 3 2 3 4 2" xfId="18660" xr:uid="{A2E3A470-DD39-494E-A259-7E6F6F4D9BB5}"/>
    <cellStyle name="Normal 3 2 3 2 3 5" xfId="10235" xr:uid="{00C5CB9D-C631-4CFC-82A7-316B421A4FA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CEB3429F-A23D-4612-B774-641BE3D7A8BB}"/>
    <cellStyle name="Normal 3 2 3 2 4 2 3" xfId="12793" xr:uid="{0C7B8DFF-E1D1-416A-A902-5FBFD54EEC85}"/>
    <cellStyle name="Normal 3 2 3 2 4 3" xfId="5539" xr:uid="{00000000-0005-0000-0000-00009B110000}"/>
    <cellStyle name="Normal 3 2 3 2 4 3 2" xfId="14865" xr:uid="{471BE4EF-B483-4D26-B3AE-578C09D1BF4F}"/>
    <cellStyle name="Normal 3 2 3 2 4 4" xfId="10648" xr:uid="{BD28D56E-FF93-45E7-B884-F467DD5B8F8D}"/>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A68ACA6B-A041-4EAE-97B4-748A22D3FDAD}"/>
    <cellStyle name="Normal 3 2 3 2 5 2 3" xfId="13206" xr:uid="{FB584812-5B2F-4A97-9B7F-CE61C00AC6AD}"/>
    <cellStyle name="Normal 3 2 3 2 5 3" xfId="5952" xr:uid="{00000000-0005-0000-0000-00009F110000}"/>
    <cellStyle name="Normal 3 2 3 2 5 3 2" xfId="15278" xr:uid="{6B62D55D-A463-4AE6-A121-74E32369D596}"/>
    <cellStyle name="Normal 3 2 3 2 5 4" xfId="11061" xr:uid="{CC99DF46-E6BA-4D9A-9DB2-6EFCFA12CD2F}"/>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9C572552-6D97-4F68-9DE1-3873CA8B1938}"/>
    <cellStyle name="Normal 3 2 3 2 6 2 3" xfId="13619" xr:uid="{55561BBB-6E3A-4256-BD5A-20266A8981EC}"/>
    <cellStyle name="Normal 3 2 3 2 6 3" xfId="6365" xr:uid="{00000000-0005-0000-0000-0000A3110000}"/>
    <cellStyle name="Normal 3 2 3 2 6 3 2" xfId="15691" xr:uid="{9268C011-FFA9-4F92-89C5-ACDAA9CD6D45}"/>
    <cellStyle name="Normal 3 2 3 2 6 4" xfId="11474" xr:uid="{AF4BCC10-ACA5-40AF-B29D-AEABC0BBB66E}"/>
    <cellStyle name="Normal 3 2 3 2 7" xfId="2495" xr:uid="{00000000-0005-0000-0000-0000A4110000}"/>
    <cellStyle name="Normal 3 2 3 2 7 2" xfId="6778" xr:uid="{00000000-0005-0000-0000-0000A5110000}"/>
    <cellStyle name="Normal 3 2 3 2 7 2 2" xfId="16104" xr:uid="{D877BB21-5FC6-4BE1-BCD7-28370FBBFD57}"/>
    <cellStyle name="Normal 3 2 3 2 7 3" xfId="11887" xr:uid="{272B29BA-BF08-4C26-A228-678D17C5EF12}"/>
    <cellStyle name="Normal 3 2 3 2 8" xfId="4712" xr:uid="{00000000-0005-0000-0000-0000A6110000}"/>
    <cellStyle name="Normal 3 2 3 2 8 2" xfId="14038" xr:uid="{B02C2142-5C11-467A-B690-32ACE8A4C3D7}"/>
    <cellStyle name="Normal 3 2 3 2 9" xfId="8920" xr:uid="{D9E0825A-068A-435C-BDBE-2C0571A11FAF}"/>
    <cellStyle name="Normal 3 2 3 2 9 2" xfId="18244" xr:uid="{91B582D6-7C0B-4022-9099-3AB459DAC4C8}"/>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787A27BC-4DF5-422B-93B4-A59886C158A0}"/>
    <cellStyle name="Normal 3 2 3 3 2 2 3" xfId="12382" xr:uid="{DA682314-938F-4407-ACB8-BADE94BDAFF8}"/>
    <cellStyle name="Normal 3 2 3 3 2 3" xfId="5128" xr:uid="{00000000-0005-0000-0000-0000AB110000}"/>
    <cellStyle name="Normal 3 2 3 3 2 3 2" xfId="14454" xr:uid="{CBF95598-9259-4B27-9071-CD584754B314}"/>
    <cellStyle name="Normal 3 2 3 3 2 4" xfId="9449" xr:uid="{7F58A2DC-DF16-44D1-8D09-04DD41EF4468}"/>
    <cellStyle name="Normal 3 2 3 3 2 4 2" xfId="18764" xr:uid="{914239E3-D21D-41F9-8C9A-37BBBAA6B490}"/>
    <cellStyle name="Normal 3 2 3 3 2 5" xfId="10237" xr:uid="{9C75CFAB-CDED-455F-98E0-C08966FBB3A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AB209FC6-9360-4E23-B45E-7654B4E51629}"/>
    <cellStyle name="Normal 3 2 3 3 3 2 3" xfId="12795" xr:uid="{4ED35634-0613-496B-BB84-C6ED565F704E}"/>
    <cellStyle name="Normal 3 2 3 3 3 3" xfId="5541" xr:uid="{00000000-0005-0000-0000-0000AF110000}"/>
    <cellStyle name="Normal 3 2 3 3 3 3 2" xfId="14867" xr:uid="{27586350-F6C3-402D-A7B2-43CD8A3E046E}"/>
    <cellStyle name="Normal 3 2 3 3 3 4" xfId="10650" xr:uid="{FA046C63-2D9A-4713-B86A-979BFCF9F18E}"/>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40EBF8A3-21C6-4378-978B-6EEC29EA96C4}"/>
    <cellStyle name="Normal 3 2 3 3 4 2 3" xfId="13208" xr:uid="{4ACC8D91-2FB6-4B43-B80C-6CE7CEED5F15}"/>
    <cellStyle name="Normal 3 2 3 3 4 3" xfId="5954" xr:uid="{00000000-0005-0000-0000-0000B3110000}"/>
    <cellStyle name="Normal 3 2 3 3 4 3 2" xfId="15280" xr:uid="{FAF89D15-B30E-43DF-97F8-30B8970C2BD3}"/>
    <cellStyle name="Normal 3 2 3 3 4 4" xfId="11063" xr:uid="{B0D2C292-88DE-4A5E-977C-90E495D74C5C}"/>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BE850B1F-949F-4686-A934-647ABB29F0DC}"/>
    <cellStyle name="Normal 3 2 3 3 5 2 3" xfId="13621" xr:uid="{6EEE7416-6DBF-4F1B-A9CD-025A48B4AED1}"/>
    <cellStyle name="Normal 3 2 3 3 5 3" xfId="6367" xr:uid="{00000000-0005-0000-0000-0000B7110000}"/>
    <cellStyle name="Normal 3 2 3 3 5 3 2" xfId="15693" xr:uid="{EE64ADA1-36E9-4A9F-B2E4-A673BFEE8BCF}"/>
    <cellStyle name="Normal 3 2 3 3 5 4" xfId="11476" xr:uid="{CCD42CA0-E54C-48FF-8350-B63922080917}"/>
    <cellStyle name="Normal 3 2 3 3 6" xfId="2497" xr:uid="{00000000-0005-0000-0000-0000B8110000}"/>
    <cellStyle name="Normal 3 2 3 3 6 2" xfId="6780" xr:uid="{00000000-0005-0000-0000-0000B9110000}"/>
    <cellStyle name="Normal 3 2 3 3 6 2 2" xfId="16106" xr:uid="{444207B8-08A2-42E5-A225-1E47EAFAD47B}"/>
    <cellStyle name="Normal 3 2 3 3 6 3" xfId="11889" xr:uid="{91A4DFAB-5236-4D77-AF87-D17BB69C6B34}"/>
    <cellStyle name="Normal 3 2 3 3 7" xfId="4714" xr:uid="{00000000-0005-0000-0000-0000BA110000}"/>
    <cellStyle name="Normal 3 2 3 3 7 2" xfId="14040" xr:uid="{C843703E-39DA-4949-916C-A84873A16909}"/>
    <cellStyle name="Normal 3 2 3 3 8" xfId="9024" xr:uid="{AE2F680F-18A3-47B5-ADCF-6BEAD71D50CE}"/>
    <cellStyle name="Normal 3 2 3 3 8 2" xfId="18348" xr:uid="{583C9A93-F0F6-46C7-80CD-91FBEB39E995}"/>
    <cellStyle name="Normal 3 2 3 3 9" xfId="9823" xr:uid="{BFC57F5B-E92F-4FEE-891D-6A623A2F1463}"/>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26B0D4C8-BCE6-4802-9011-184C20422C5A}"/>
    <cellStyle name="Normal 3 2 3 4 2 3" xfId="12379" xr:uid="{41896357-00AA-4906-9B37-19D0C259BFFE}"/>
    <cellStyle name="Normal 3 2 3 4 3" xfId="5125" xr:uid="{00000000-0005-0000-0000-0000BE110000}"/>
    <cellStyle name="Normal 3 2 3 4 3 2" xfId="14451" xr:uid="{57C063C7-47F1-4AB0-AB72-C8A1E869E4FA}"/>
    <cellStyle name="Normal 3 2 3 4 4" xfId="9242" xr:uid="{05AEEDFF-7EEB-40DB-B13D-145C971A771B}"/>
    <cellStyle name="Normal 3 2 3 4 4 2" xfId="18557" xr:uid="{3F49451D-D461-4A63-BDCC-C9FCF5915A58}"/>
    <cellStyle name="Normal 3 2 3 4 5" xfId="10234" xr:uid="{516F2223-3F1C-4715-B720-EE1E1817AA7F}"/>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A1535596-6629-4FA4-B046-4F7EF39D1955}"/>
    <cellStyle name="Normal 3 2 3 5 2 3" xfId="12792" xr:uid="{D9D312F4-5A8B-45C8-9A83-1376454D7FB7}"/>
    <cellStyle name="Normal 3 2 3 5 3" xfId="5538" xr:uid="{00000000-0005-0000-0000-0000C2110000}"/>
    <cellStyle name="Normal 3 2 3 5 3 2" xfId="14864" xr:uid="{9CDD0A6E-C1F0-4149-82D8-A500D6314CD4}"/>
    <cellStyle name="Normal 3 2 3 5 4" xfId="10647" xr:uid="{B52CCB01-0244-4DD6-8AE7-BF1FBD1EEE4A}"/>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F325278D-1378-4804-868F-FDFDD3F0BB92}"/>
    <cellStyle name="Normal 3 2 3 6 2 3" xfId="13205" xr:uid="{12F76742-CECC-4D29-AA1B-2A493695E810}"/>
    <cellStyle name="Normal 3 2 3 6 3" xfId="5951" xr:uid="{00000000-0005-0000-0000-0000C6110000}"/>
    <cellStyle name="Normal 3 2 3 6 3 2" xfId="15277" xr:uid="{BDC0343E-BD41-4CDC-B13C-F1C4C80704E2}"/>
    <cellStyle name="Normal 3 2 3 6 4" xfId="11060" xr:uid="{B1691E92-1C7D-46E4-9069-A7747E9FA093}"/>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F9AE208C-B166-4F35-ABEC-E3ED87C72915}"/>
    <cellStyle name="Normal 3 2 3 7 2 3" xfId="13618" xr:uid="{074B5ABC-C744-4163-8DB0-9618930C97CD}"/>
    <cellStyle name="Normal 3 2 3 7 3" xfId="6364" xr:uid="{00000000-0005-0000-0000-0000CA110000}"/>
    <cellStyle name="Normal 3 2 3 7 3 2" xfId="15690" xr:uid="{436F8F8D-98A2-4772-A32A-1F55F193CA1D}"/>
    <cellStyle name="Normal 3 2 3 7 4" xfId="11473" xr:uid="{3A79E8FC-F097-4547-9040-B7E294ADFDAA}"/>
    <cellStyle name="Normal 3 2 3 8" xfId="2494" xr:uid="{00000000-0005-0000-0000-0000CB110000}"/>
    <cellStyle name="Normal 3 2 3 8 2" xfId="6777" xr:uid="{00000000-0005-0000-0000-0000CC110000}"/>
    <cellStyle name="Normal 3 2 3 8 2 2" xfId="16103" xr:uid="{08355F55-5928-4E27-A7D3-693ED5906CE5}"/>
    <cellStyle name="Normal 3 2 3 8 3" xfId="11886" xr:uid="{2A62CFF0-92FC-4340-ACAF-DF84FB1CF7B8}"/>
    <cellStyle name="Normal 3 2 3 9" xfId="4711" xr:uid="{00000000-0005-0000-0000-0000CD110000}"/>
    <cellStyle name="Normal 3 2 3 9 2" xfId="14037" xr:uid="{86FEC259-339C-400A-A8EC-B7B487BC0843}"/>
    <cellStyle name="Normal 3 2 4" xfId="809" xr:uid="{00000000-0005-0000-0000-0000CE110000}"/>
    <cellStyle name="Normal 3 2 4 2" xfId="3047" xr:uid="{00000000-0005-0000-0000-0000CF110000}"/>
    <cellStyle name="Normal 3 2 4 2 2" xfId="7269" xr:uid="{00000000-0005-0000-0000-0000D0110000}"/>
    <cellStyle name="Normal 3 2 4 2 2 2" xfId="16595" xr:uid="{99DCA9C2-75AD-4512-959A-70D8D1FA2197}"/>
    <cellStyle name="Normal 3 2 4 2 3" xfId="12378" xr:uid="{4D9B1BFB-1658-4E3D-B797-52B109DFABAE}"/>
    <cellStyle name="Normal 3 2 4 3" xfId="5124" xr:uid="{00000000-0005-0000-0000-0000D1110000}"/>
    <cellStyle name="Normal 3 2 4 3 2" xfId="14450" xr:uid="{46B59404-15B5-46DA-BA51-09B09DEA3A25}"/>
    <cellStyle name="Normal 3 2 4 4" xfId="9607" xr:uid="{7D769806-7069-4B8D-8CAC-B3B91BBA8D64}"/>
    <cellStyle name="Normal 3 2 4 4 2" xfId="18908" xr:uid="{F8742625-5AEF-41A1-B316-741730CBE13D}"/>
    <cellStyle name="Normal 3 2 4 5" xfId="10233" xr:uid="{1597899F-80A6-437C-BCD9-50B9A9C85844}"/>
    <cellStyle name="Normal 3 2 5" xfId="1230" xr:uid="{00000000-0005-0000-0000-0000D2110000}"/>
    <cellStyle name="Normal 3 2 5 2" xfId="3460" xr:uid="{00000000-0005-0000-0000-0000D3110000}"/>
    <cellStyle name="Normal 3 2 5 2 2" xfId="7682" xr:uid="{00000000-0005-0000-0000-0000D4110000}"/>
    <cellStyle name="Normal 3 2 5 2 2 2" xfId="17008" xr:uid="{57DFBD87-5B1E-4583-AA17-3897F0378152}"/>
    <cellStyle name="Normal 3 2 5 2 3" xfId="12791" xr:uid="{53DBCA69-6AF6-473F-8A2B-BBA942AF8C09}"/>
    <cellStyle name="Normal 3 2 5 3" xfId="5537" xr:uid="{00000000-0005-0000-0000-0000D5110000}"/>
    <cellStyle name="Normal 3 2 5 3 2" xfId="14863" xr:uid="{C399A05C-4C48-4485-A8B5-E53D52971CDD}"/>
    <cellStyle name="Normal 3 2 5 4" xfId="10646" xr:uid="{8CAB4052-ED30-487B-A232-5CDD6A6F40E3}"/>
    <cellStyle name="Normal 3 2 6" xfId="1643" xr:uid="{00000000-0005-0000-0000-0000D6110000}"/>
    <cellStyle name="Normal 3 2 6 2" xfId="3873" xr:uid="{00000000-0005-0000-0000-0000D7110000}"/>
    <cellStyle name="Normal 3 2 6 2 2" xfId="8095" xr:uid="{00000000-0005-0000-0000-0000D8110000}"/>
    <cellStyle name="Normal 3 2 6 2 2 2" xfId="17421" xr:uid="{FC354595-27AF-4264-8267-EAF0635CCFCD}"/>
    <cellStyle name="Normal 3 2 6 2 3" xfId="13204" xr:uid="{C16C3CB2-5AFB-4E99-89D0-6A68FB269646}"/>
    <cellStyle name="Normal 3 2 6 3" xfId="5950" xr:uid="{00000000-0005-0000-0000-0000D9110000}"/>
    <cellStyle name="Normal 3 2 6 3 2" xfId="15276" xr:uid="{6C15B0E8-6474-4017-8522-42910F6D5FF4}"/>
    <cellStyle name="Normal 3 2 6 4" xfId="11059" xr:uid="{0F5C001E-A864-4A80-B9C8-CB9AA06AB33B}"/>
    <cellStyle name="Normal 3 2 7" xfId="2057" xr:uid="{00000000-0005-0000-0000-0000DA110000}"/>
    <cellStyle name="Normal 3 2 7 2" xfId="4286" xr:uid="{00000000-0005-0000-0000-0000DB110000}"/>
    <cellStyle name="Normal 3 2 7 2 2" xfId="8508" xr:uid="{00000000-0005-0000-0000-0000DC110000}"/>
    <cellStyle name="Normal 3 2 7 2 2 2" xfId="17834" xr:uid="{7CD02FCD-8698-406A-ACE8-A4B49465B707}"/>
    <cellStyle name="Normal 3 2 7 2 3" xfId="13617" xr:uid="{1FE84C78-688C-4E87-9A24-DCA199612168}"/>
    <cellStyle name="Normal 3 2 7 3" xfId="6363" xr:uid="{00000000-0005-0000-0000-0000DD110000}"/>
    <cellStyle name="Normal 3 2 7 3 2" xfId="15689" xr:uid="{7AE989FB-E4B5-4C4B-8475-B4C5429EC4A1}"/>
    <cellStyle name="Normal 3 2 7 4" xfId="11472" xr:uid="{2A14BC1D-EDA2-4780-8128-92FD8044036A}"/>
    <cellStyle name="Normal 3 2 8" xfId="2493" xr:uid="{00000000-0005-0000-0000-0000DE110000}"/>
    <cellStyle name="Normal 3 2 8 2" xfId="6776" xr:uid="{00000000-0005-0000-0000-0000DF110000}"/>
    <cellStyle name="Normal 3 2 8 2 2" xfId="16102" xr:uid="{6917DF12-9C7B-4DE2-9AB1-C601E392DDC5}"/>
    <cellStyle name="Normal 3 2 8 3" xfId="11885" xr:uid="{50DB53B7-6E6C-467A-ADEC-AF41CE848580}"/>
    <cellStyle name="Normal 3 2 9" xfId="4710" xr:uid="{00000000-0005-0000-0000-0000E0110000}"/>
    <cellStyle name="Normal 3 2 9 2" xfId="14036" xr:uid="{4ED625EE-9EBD-433E-BA9F-114116E90CBD}"/>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E0E23F4E-5D91-4E87-AEB8-EE611F19136C}"/>
    <cellStyle name="Normal 4 11" xfId="9824" xr:uid="{65F3B81F-EB48-4C7C-9D52-1C113996E6F4}"/>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481AE6BD-E50E-4A9E-9AAF-1A6D11BF0AFF}"/>
    <cellStyle name="Normal 4 2 2 10 2 3" xfId="13622" xr:uid="{38EE39DC-5ADD-4637-90AA-5F33546B9775}"/>
    <cellStyle name="Normal 4 2 2 10 3" xfId="6368" xr:uid="{00000000-0005-0000-0000-0000ED110000}"/>
    <cellStyle name="Normal 4 2 2 10 3 2" xfId="15694" xr:uid="{DDFEF6ED-92B2-4EFB-AD7F-09648C8D993F}"/>
    <cellStyle name="Normal 4 2 2 10 4" xfId="11477" xr:uid="{EDF25AF3-C91C-4619-A9AC-7DDD84F521A8}"/>
    <cellStyle name="Normal 4 2 2 11" xfId="2498" xr:uid="{00000000-0005-0000-0000-0000EE110000}"/>
    <cellStyle name="Normal 4 2 2 11 2" xfId="6781" xr:uid="{00000000-0005-0000-0000-0000EF110000}"/>
    <cellStyle name="Normal 4 2 2 11 2 2" xfId="16107" xr:uid="{F7ED5DE4-C66F-4B53-8FBF-AF21DBC740DE}"/>
    <cellStyle name="Normal 4 2 2 11 3" xfId="11890" xr:uid="{47184244-587A-4235-910D-D7B22B2521DF}"/>
    <cellStyle name="Normal 4 2 2 12" xfId="4716" xr:uid="{00000000-0005-0000-0000-0000F0110000}"/>
    <cellStyle name="Normal 4 2 2 12 2" xfId="14042" xr:uid="{A8CAA8C0-EA7C-451A-A6F4-E344485B417E}"/>
    <cellStyle name="Normal 4 2 2 13" xfId="8752" xr:uid="{7B61EFAC-4165-4615-9A47-7AF5DAE027C9}"/>
    <cellStyle name="Normal 4 2 2 13 2" xfId="18076" xr:uid="{3575B37A-1E26-4640-8618-C3A75E375534}"/>
    <cellStyle name="Normal 4 2 2 14" xfId="9825" xr:uid="{24D118D5-027D-4792-A047-8B4F339639B8}"/>
    <cellStyle name="Normal 4 2 2 2" xfId="338" xr:uid="{00000000-0005-0000-0000-0000F1110000}"/>
    <cellStyle name="Normal 4 2 2 3" xfId="339" xr:uid="{00000000-0005-0000-0000-0000F2110000}"/>
    <cellStyle name="Normal 4 2 2 3 10" xfId="4717" xr:uid="{00000000-0005-0000-0000-0000F3110000}"/>
    <cellStyle name="Normal 4 2 2 3 10 2" xfId="14043" xr:uid="{DD0B78D4-B1EF-4090-A59C-7222966C72F6}"/>
    <cellStyle name="Normal 4 2 2 3 11" xfId="8784" xr:uid="{8AA3A883-811C-4C4A-AFFF-9AAED56BF228}"/>
    <cellStyle name="Normal 4 2 2 3 11 2" xfId="18108" xr:uid="{952DEE46-C68D-467D-B632-89CA8E914D59}"/>
    <cellStyle name="Normal 4 2 2 3 12" xfId="9826" xr:uid="{435E1182-853B-4DBF-8454-B82C218315FD}"/>
    <cellStyle name="Normal 4 2 2 3 2" xfId="340" xr:uid="{00000000-0005-0000-0000-0000F4110000}"/>
    <cellStyle name="Normal 4 2 2 3 2 10" xfId="8819" xr:uid="{16629302-3759-4242-B07E-BB5D034B10E8}"/>
    <cellStyle name="Normal 4 2 2 3 2 10 2" xfId="18143" xr:uid="{CE834EAA-30A0-42B0-8F76-10F2C15D419E}"/>
    <cellStyle name="Normal 4 2 2 3 2 11" xfId="9827" xr:uid="{8368B4FB-2EBC-4DAC-8D10-9FD937C4DCB0}"/>
    <cellStyle name="Normal 4 2 2 3 2 2" xfId="341" xr:uid="{00000000-0005-0000-0000-0000F5110000}"/>
    <cellStyle name="Normal 4 2 2 3 2 2 10" xfId="9828" xr:uid="{0505A12F-82DF-4CDE-A487-750C074D7E1B}"/>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EBDA44A4-B117-41B0-87C0-847EF72FF66C}"/>
    <cellStyle name="Normal 4 2 2 3 2 2 2 2 2 3" xfId="12387" xr:uid="{F2C787BA-778A-4D59-8D4D-E90CDD75A26F}"/>
    <cellStyle name="Normal 4 2 2 3 2 2 2 2 3" xfId="5133" xr:uid="{00000000-0005-0000-0000-0000FA110000}"/>
    <cellStyle name="Normal 4 2 2 3 2 2 2 2 3 2" xfId="14459" xr:uid="{E585208E-6A8F-4933-BFAE-0F6C4D4D92C6}"/>
    <cellStyle name="Normal 4 2 2 3 2 2 2 2 4" xfId="9554" xr:uid="{BAC669EC-8948-4716-90C3-0688F03300CE}"/>
    <cellStyle name="Normal 4 2 2 3 2 2 2 2 4 2" xfId="18869" xr:uid="{8BF27AA2-7604-49C0-9DFF-2809B2B50FC4}"/>
    <cellStyle name="Normal 4 2 2 3 2 2 2 2 5" xfId="10242" xr:uid="{173C61B3-3213-4ED4-AEA4-48590AEB1FA6}"/>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FFB95DB7-47DF-4BFC-B768-693BE7D6E4B8}"/>
    <cellStyle name="Normal 4 2 2 3 2 2 2 3 2 3" xfId="12800" xr:uid="{CA93FDC4-C749-47AE-853C-22D564E3E0F4}"/>
    <cellStyle name="Normal 4 2 2 3 2 2 2 3 3" xfId="5546" xr:uid="{00000000-0005-0000-0000-0000FE110000}"/>
    <cellStyle name="Normal 4 2 2 3 2 2 2 3 3 2" xfId="14872" xr:uid="{27C0DCC2-9605-4B87-9004-3338E79025EC}"/>
    <cellStyle name="Normal 4 2 2 3 2 2 2 3 4" xfId="10655" xr:uid="{5B004DA0-CD08-4F36-BC93-32E6BFCCAC16}"/>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15A6503B-9F17-4F96-BA0C-AC1ADA99E9F7}"/>
    <cellStyle name="Normal 4 2 2 3 2 2 2 4 2 3" xfId="13213" xr:uid="{73F04FD1-14E5-4DD4-A220-E931C14EEC16}"/>
    <cellStyle name="Normal 4 2 2 3 2 2 2 4 3" xfId="5959" xr:uid="{00000000-0005-0000-0000-000002120000}"/>
    <cellStyle name="Normal 4 2 2 3 2 2 2 4 3 2" xfId="15285" xr:uid="{DB58780E-89F7-41A1-9830-163E80206BF4}"/>
    <cellStyle name="Normal 4 2 2 3 2 2 2 4 4" xfId="11068" xr:uid="{255E45C2-81E0-43B6-99E3-67FA72EEF51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D7792A59-F82F-4E40-A5C1-0BE303C9997D}"/>
    <cellStyle name="Normal 4 2 2 3 2 2 2 5 2 3" xfId="13626" xr:uid="{04644FFD-0844-41F0-9687-F5BC915CDEB8}"/>
    <cellStyle name="Normal 4 2 2 3 2 2 2 5 3" xfId="6372" xr:uid="{00000000-0005-0000-0000-000006120000}"/>
    <cellStyle name="Normal 4 2 2 3 2 2 2 5 3 2" xfId="15698" xr:uid="{666DFAD0-19E6-4D5F-806D-6FCAC201B129}"/>
    <cellStyle name="Normal 4 2 2 3 2 2 2 5 4" xfId="11481" xr:uid="{CA8EB4B7-931C-4374-8678-5E7150F9EF92}"/>
    <cellStyle name="Normal 4 2 2 3 2 2 2 6" xfId="2502" xr:uid="{00000000-0005-0000-0000-000007120000}"/>
    <cellStyle name="Normal 4 2 2 3 2 2 2 6 2" xfId="6785" xr:uid="{00000000-0005-0000-0000-000008120000}"/>
    <cellStyle name="Normal 4 2 2 3 2 2 2 6 2 2" xfId="16111" xr:uid="{055039D0-E410-4335-9D09-B8CAD1FC3FA9}"/>
    <cellStyle name="Normal 4 2 2 3 2 2 2 6 3" xfId="11894" xr:uid="{E773FB17-3EC1-4FA9-A8F2-924583DD79B3}"/>
    <cellStyle name="Normal 4 2 2 3 2 2 2 7" xfId="4720" xr:uid="{00000000-0005-0000-0000-000009120000}"/>
    <cellStyle name="Normal 4 2 2 3 2 2 2 7 2" xfId="14046" xr:uid="{094E9168-68C9-4AEF-A30A-6E790B27AEA1}"/>
    <cellStyle name="Normal 4 2 2 3 2 2 2 8" xfId="9129" xr:uid="{970F8072-C8D6-4D17-95D6-EBF431EAD262}"/>
    <cellStyle name="Normal 4 2 2 3 2 2 2 8 2" xfId="18453" xr:uid="{6BC6CB3E-5903-4B17-B4B6-FEC70126CD25}"/>
    <cellStyle name="Normal 4 2 2 3 2 2 2 9" xfId="9829" xr:uid="{0FC5804F-E403-4474-87A6-ED74B2A7C67A}"/>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1650CA80-3E23-4385-A927-7167D99E5E6D}"/>
    <cellStyle name="Normal 4 2 2 3 2 2 3 2 3" xfId="12386" xr:uid="{A2DD6416-66BB-4DA5-ACC9-F15F5492FB0B}"/>
    <cellStyle name="Normal 4 2 2 3 2 2 3 3" xfId="5132" xr:uid="{00000000-0005-0000-0000-00000D120000}"/>
    <cellStyle name="Normal 4 2 2 3 2 2 3 3 2" xfId="14458" xr:uid="{A93EED16-8493-44C0-BC9B-170069B259C6}"/>
    <cellStyle name="Normal 4 2 2 3 2 2 3 4" xfId="9347" xr:uid="{8C9012CB-19BB-4242-9F43-373358B13B52}"/>
    <cellStyle name="Normal 4 2 2 3 2 2 3 4 2" xfId="18662" xr:uid="{237A001E-2D60-4B6F-8CA7-A24CF433E0C5}"/>
    <cellStyle name="Normal 4 2 2 3 2 2 3 5" xfId="10241" xr:uid="{3206DEE3-983B-4279-8F55-EFE16AAF0547}"/>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76E8CC9D-C7F6-4669-A439-F1D6FA1ECBE3}"/>
    <cellStyle name="Normal 4 2 2 3 2 2 4 2 3" xfId="12799" xr:uid="{C509D323-6641-483C-AE61-CC17DFF20E87}"/>
    <cellStyle name="Normal 4 2 2 3 2 2 4 3" xfId="5545" xr:uid="{00000000-0005-0000-0000-000011120000}"/>
    <cellStyle name="Normal 4 2 2 3 2 2 4 3 2" xfId="14871" xr:uid="{A34280E6-FD39-4514-A494-1F2B7352E8C6}"/>
    <cellStyle name="Normal 4 2 2 3 2 2 4 4" xfId="10654" xr:uid="{4E2F9C50-F868-4C83-B854-BF90AAB30F73}"/>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48E3B246-3BBA-44FB-B916-6253C04060F9}"/>
    <cellStyle name="Normal 4 2 2 3 2 2 5 2 3" xfId="13212" xr:uid="{2F9F7270-6ECC-4466-BE89-7B448D982784}"/>
    <cellStyle name="Normal 4 2 2 3 2 2 5 3" xfId="5958" xr:uid="{00000000-0005-0000-0000-000015120000}"/>
    <cellStyle name="Normal 4 2 2 3 2 2 5 3 2" xfId="15284" xr:uid="{C3B89E41-CD52-4E58-88A2-B5B7E2945359}"/>
    <cellStyle name="Normal 4 2 2 3 2 2 5 4" xfId="11067" xr:uid="{4572C74B-B4C6-4130-B523-B87DDBAD1823}"/>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A97C796B-C00C-4B64-8657-AF1F74D82727}"/>
    <cellStyle name="Normal 4 2 2 3 2 2 6 2 3" xfId="13625" xr:uid="{81CFB79C-35D3-4083-98EF-A8D2A0F072D3}"/>
    <cellStyle name="Normal 4 2 2 3 2 2 6 3" xfId="6371" xr:uid="{00000000-0005-0000-0000-000019120000}"/>
    <cellStyle name="Normal 4 2 2 3 2 2 6 3 2" xfId="15697" xr:uid="{344AB90F-F04F-4B66-BF06-B36639A69059}"/>
    <cellStyle name="Normal 4 2 2 3 2 2 6 4" xfId="11480" xr:uid="{042B829C-46AF-40B5-BCE6-A43BF57783A0}"/>
    <cellStyle name="Normal 4 2 2 3 2 2 7" xfId="2501" xr:uid="{00000000-0005-0000-0000-00001A120000}"/>
    <cellStyle name="Normal 4 2 2 3 2 2 7 2" xfId="6784" xr:uid="{00000000-0005-0000-0000-00001B120000}"/>
    <cellStyle name="Normal 4 2 2 3 2 2 7 2 2" xfId="16110" xr:uid="{880738C9-6957-48E4-9C85-17B1252D7588}"/>
    <cellStyle name="Normal 4 2 2 3 2 2 7 3" xfId="11893" xr:uid="{9AFDD320-B098-49B9-B4FA-87885B446091}"/>
    <cellStyle name="Normal 4 2 2 3 2 2 8" xfId="4719" xr:uid="{00000000-0005-0000-0000-00001C120000}"/>
    <cellStyle name="Normal 4 2 2 3 2 2 8 2" xfId="14045" xr:uid="{1CA155A4-3088-4C9F-94D6-D82DA2DA33D4}"/>
    <cellStyle name="Normal 4 2 2 3 2 2 9" xfId="8922" xr:uid="{32C9E21B-8C85-4874-B28C-82BF39BA84E2}"/>
    <cellStyle name="Normal 4 2 2 3 2 2 9 2" xfId="18246" xr:uid="{1CD8F114-0644-42A5-9F4A-272B38EE7BE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2EA6403D-7EDA-4CA4-805F-5319225AB12F}"/>
    <cellStyle name="Normal 4 2 2 3 2 3 2 2 3" xfId="12388" xr:uid="{D0B4CA81-9940-4A51-BCA2-18BEF4A7EBF6}"/>
    <cellStyle name="Normal 4 2 2 3 2 3 2 3" xfId="5134" xr:uid="{00000000-0005-0000-0000-000021120000}"/>
    <cellStyle name="Normal 4 2 2 3 2 3 2 3 2" xfId="14460" xr:uid="{33459014-DB9B-4F34-9F88-62643673119C}"/>
    <cellStyle name="Normal 4 2 2 3 2 3 2 4" xfId="9451" xr:uid="{85AA9164-95F1-48F2-907A-54AD445D074F}"/>
    <cellStyle name="Normal 4 2 2 3 2 3 2 4 2" xfId="18766" xr:uid="{FD50E4BC-4397-45D2-A6B5-F467BA1CD4CD}"/>
    <cellStyle name="Normal 4 2 2 3 2 3 2 5" xfId="10243" xr:uid="{B09A6693-5218-47FE-A8D6-A9A83DFAD7E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83C78504-2E12-4587-A40C-DA1E3BBBF7AB}"/>
    <cellStyle name="Normal 4 2 2 3 2 3 3 2 3" xfId="12801" xr:uid="{25C7E5EB-1EE3-48CA-9CD8-E43B4D02D333}"/>
    <cellStyle name="Normal 4 2 2 3 2 3 3 3" xfId="5547" xr:uid="{00000000-0005-0000-0000-000025120000}"/>
    <cellStyle name="Normal 4 2 2 3 2 3 3 3 2" xfId="14873" xr:uid="{DA04906C-CD1F-4458-A14C-D7BE97A9D58F}"/>
    <cellStyle name="Normal 4 2 2 3 2 3 3 4" xfId="10656" xr:uid="{A57B4A6A-2536-4122-B181-1A9678725B5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0B2E7782-9779-4DA0-ADFF-C6226DF90E44}"/>
    <cellStyle name="Normal 4 2 2 3 2 3 4 2 3" xfId="13214" xr:uid="{7ABF0BA2-B7E7-4DA4-82B4-E640FF2DC2C5}"/>
    <cellStyle name="Normal 4 2 2 3 2 3 4 3" xfId="5960" xr:uid="{00000000-0005-0000-0000-000029120000}"/>
    <cellStyle name="Normal 4 2 2 3 2 3 4 3 2" xfId="15286" xr:uid="{E63F668F-CC28-4985-B5B1-BA7FD1CC4A45}"/>
    <cellStyle name="Normal 4 2 2 3 2 3 4 4" xfId="11069" xr:uid="{8870D6D8-872D-46A1-BC80-CD6621B331E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2830CEF3-A8CD-4A40-BBD9-F11AFFEAF152}"/>
    <cellStyle name="Normal 4 2 2 3 2 3 5 2 3" xfId="13627" xr:uid="{AF730D7E-728C-4B8E-8E50-D13C2A8EDCF1}"/>
    <cellStyle name="Normal 4 2 2 3 2 3 5 3" xfId="6373" xr:uid="{00000000-0005-0000-0000-00002D120000}"/>
    <cellStyle name="Normal 4 2 2 3 2 3 5 3 2" xfId="15699" xr:uid="{8594871B-371D-42A5-BD81-95C6520F5D0F}"/>
    <cellStyle name="Normal 4 2 2 3 2 3 5 4" xfId="11482" xr:uid="{1B77A4E2-15B9-40CB-9371-D035BF4CBC8A}"/>
    <cellStyle name="Normal 4 2 2 3 2 3 6" xfId="2503" xr:uid="{00000000-0005-0000-0000-00002E120000}"/>
    <cellStyle name="Normal 4 2 2 3 2 3 6 2" xfId="6786" xr:uid="{00000000-0005-0000-0000-00002F120000}"/>
    <cellStyle name="Normal 4 2 2 3 2 3 6 2 2" xfId="16112" xr:uid="{26701960-F076-4686-865A-5AB36F4ADF7F}"/>
    <cellStyle name="Normal 4 2 2 3 2 3 6 3" xfId="11895" xr:uid="{2BC13379-4C55-41FA-97E5-770E6CF08C96}"/>
    <cellStyle name="Normal 4 2 2 3 2 3 7" xfId="4721" xr:uid="{00000000-0005-0000-0000-000030120000}"/>
    <cellStyle name="Normal 4 2 2 3 2 3 7 2" xfId="14047" xr:uid="{A2057DDF-8DD1-4A17-B854-CA1E0510B94A}"/>
    <cellStyle name="Normal 4 2 2 3 2 3 8" xfId="9026" xr:uid="{319D63D3-F71C-4F99-9FD1-E3D0665567E8}"/>
    <cellStyle name="Normal 4 2 2 3 2 3 8 2" xfId="18350" xr:uid="{43BFC0AC-9A1E-4C4F-A0E3-52319CA8E43D}"/>
    <cellStyle name="Normal 4 2 2 3 2 3 9" xfId="9830" xr:uid="{62C7AB90-BBF0-4A41-BFC9-D2D3F2F7C3E1}"/>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5A198DD6-81A4-4E63-A276-A3F4705D086C}"/>
    <cellStyle name="Normal 4 2 2 3 2 4 2 3" xfId="12385" xr:uid="{BE4235AD-E894-439B-85D9-9710DD5E5B3F}"/>
    <cellStyle name="Normal 4 2 2 3 2 4 3" xfId="5131" xr:uid="{00000000-0005-0000-0000-000034120000}"/>
    <cellStyle name="Normal 4 2 2 3 2 4 3 2" xfId="14457" xr:uid="{DCF655ED-EAC1-421E-9B9E-DA35FA400117}"/>
    <cellStyle name="Normal 4 2 2 3 2 4 4" xfId="9244" xr:uid="{98623F27-324A-40DE-AA2B-56E1FCE087EE}"/>
    <cellStyle name="Normal 4 2 2 3 2 4 4 2" xfId="18559" xr:uid="{12E6D5BE-7DFA-4761-B683-9635C7A351D4}"/>
    <cellStyle name="Normal 4 2 2 3 2 4 5" xfId="10240" xr:uid="{534D37DF-F8D0-4723-862C-0D97ABB2F29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00C01DDF-8DDF-4A39-80A0-523AE2A84A5B}"/>
    <cellStyle name="Normal 4 2 2 3 2 5 2 3" xfId="12798" xr:uid="{A1BD06A9-401F-4B42-B214-1322E3925B41}"/>
    <cellStyle name="Normal 4 2 2 3 2 5 3" xfId="5544" xr:uid="{00000000-0005-0000-0000-000038120000}"/>
    <cellStyle name="Normal 4 2 2 3 2 5 3 2" xfId="14870" xr:uid="{AB64635C-2FC0-40F2-B177-4F2039DAB65B}"/>
    <cellStyle name="Normal 4 2 2 3 2 5 4" xfId="10653" xr:uid="{CF36CCB0-999E-4C9E-A1D2-3A49FA6DF20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3C300BB4-F457-45AF-8579-9BC7C4CF3B74}"/>
    <cellStyle name="Normal 4 2 2 3 2 6 2 3" xfId="13211" xr:uid="{BE6BA47D-DC4B-4363-AD0E-C7AB5223C94C}"/>
    <cellStyle name="Normal 4 2 2 3 2 6 3" xfId="5957" xr:uid="{00000000-0005-0000-0000-00003C120000}"/>
    <cellStyle name="Normal 4 2 2 3 2 6 3 2" xfId="15283" xr:uid="{41FC3E05-DBE9-4E31-9288-CA7D785A94F0}"/>
    <cellStyle name="Normal 4 2 2 3 2 6 4" xfId="11066" xr:uid="{DB6811B6-6F14-4FDC-92FE-428A00645CCC}"/>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6906176D-D14A-4651-8F0C-EE9FE0B5785D}"/>
    <cellStyle name="Normal 4 2 2 3 2 7 2 3" xfId="13624" xr:uid="{4C607951-03FD-45D4-BAD0-423F841873F1}"/>
    <cellStyle name="Normal 4 2 2 3 2 7 3" xfId="6370" xr:uid="{00000000-0005-0000-0000-000040120000}"/>
    <cellStyle name="Normal 4 2 2 3 2 7 3 2" xfId="15696" xr:uid="{5CEA30BE-0DBD-40C8-9E2A-1194D257D983}"/>
    <cellStyle name="Normal 4 2 2 3 2 7 4" xfId="11479" xr:uid="{D3428571-4617-48D1-A2EE-457B16172EA2}"/>
    <cellStyle name="Normal 4 2 2 3 2 8" xfId="2500" xr:uid="{00000000-0005-0000-0000-000041120000}"/>
    <cellStyle name="Normal 4 2 2 3 2 8 2" xfId="6783" xr:uid="{00000000-0005-0000-0000-000042120000}"/>
    <cellStyle name="Normal 4 2 2 3 2 8 2 2" xfId="16109" xr:uid="{6A04AFBC-1E31-4AA9-BBF2-18EEE2E23A6D}"/>
    <cellStyle name="Normal 4 2 2 3 2 8 3" xfId="11892" xr:uid="{ADBF62BF-8C36-4459-A7FE-05E2D6593160}"/>
    <cellStyle name="Normal 4 2 2 3 2 9" xfId="4718" xr:uid="{00000000-0005-0000-0000-000043120000}"/>
    <cellStyle name="Normal 4 2 2 3 2 9 2" xfId="14044" xr:uid="{9A9529F3-248B-4F54-9AC2-031732FC6D00}"/>
    <cellStyle name="Normal 4 2 2 3 3" xfId="344" xr:uid="{00000000-0005-0000-0000-000044120000}"/>
    <cellStyle name="Normal 4 2 2 3 3 10" xfId="9831" xr:uid="{A304BDF1-7801-46CB-85EA-FCB2C33698E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C68EA78E-90FD-4A11-9DAB-F1CDB1913CB4}"/>
    <cellStyle name="Normal 4 2 2 3 3 2 2 2 3" xfId="12390" xr:uid="{79C7B645-239B-4D1F-B04B-10E4816742F1}"/>
    <cellStyle name="Normal 4 2 2 3 3 2 2 3" xfId="5136" xr:uid="{00000000-0005-0000-0000-000049120000}"/>
    <cellStyle name="Normal 4 2 2 3 3 2 2 3 2" xfId="14462" xr:uid="{BDEA3400-6676-422B-9000-FDD399C023DE}"/>
    <cellStyle name="Normal 4 2 2 3 3 2 2 4" xfId="9519" xr:uid="{FB4BBD6E-D73B-4ABD-8656-6C15D7932E02}"/>
    <cellStyle name="Normal 4 2 2 3 3 2 2 4 2" xfId="18834" xr:uid="{718CCF5E-5B2A-43D4-BC88-2C4C6F3FC02C}"/>
    <cellStyle name="Normal 4 2 2 3 3 2 2 5" xfId="10245" xr:uid="{03C142A7-9517-46A4-A241-93E3E0799DC3}"/>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539D133B-C7F2-42CC-BB9C-82BF4C6BBBBC}"/>
    <cellStyle name="Normal 4 2 2 3 3 2 3 2 3" xfId="12803" xr:uid="{A369BC1A-108B-435B-BE5C-EB60730E3D5D}"/>
    <cellStyle name="Normal 4 2 2 3 3 2 3 3" xfId="5549" xr:uid="{00000000-0005-0000-0000-00004D120000}"/>
    <cellStyle name="Normal 4 2 2 3 3 2 3 3 2" xfId="14875" xr:uid="{06BB3628-F8D3-4F4B-A982-8F65CB99C7E5}"/>
    <cellStyle name="Normal 4 2 2 3 3 2 3 4" xfId="10658" xr:uid="{ED59293A-4028-4636-895C-4178A72C4098}"/>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74BCB387-4802-48F5-A96A-A8E10C9B5CA1}"/>
    <cellStyle name="Normal 4 2 2 3 3 2 4 2 3" xfId="13216" xr:uid="{14219B63-7E2A-4D83-AFDD-4A6384670C38}"/>
    <cellStyle name="Normal 4 2 2 3 3 2 4 3" xfId="5962" xr:uid="{00000000-0005-0000-0000-000051120000}"/>
    <cellStyle name="Normal 4 2 2 3 3 2 4 3 2" xfId="15288" xr:uid="{CCDD6FCB-DF24-41C9-AA8F-7F93A5ECCD24}"/>
    <cellStyle name="Normal 4 2 2 3 3 2 4 4" xfId="11071" xr:uid="{5E74CA4E-55F4-45ED-811D-03A3D46B2AE9}"/>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8874BD7C-F386-4DC7-8EC8-D9953E9E131B}"/>
    <cellStyle name="Normal 4 2 2 3 3 2 5 2 3" xfId="13629" xr:uid="{3AA4E597-A51B-4FF1-BBA4-04882725668D}"/>
    <cellStyle name="Normal 4 2 2 3 3 2 5 3" xfId="6375" xr:uid="{00000000-0005-0000-0000-000055120000}"/>
    <cellStyle name="Normal 4 2 2 3 3 2 5 3 2" xfId="15701" xr:uid="{24F82BD9-C8F8-444F-8D69-67D8201A241C}"/>
    <cellStyle name="Normal 4 2 2 3 3 2 5 4" xfId="11484" xr:uid="{697CF8F6-A7C5-415B-BB73-39439327E413}"/>
    <cellStyle name="Normal 4 2 2 3 3 2 6" xfId="2505" xr:uid="{00000000-0005-0000-0000-000056120000}"/>
    <cellStyle name="Normal 4 2 2 3 3 2 6 2" xfId="6788" xr:uid="{00000000-0005-0000-0000-000057120000}"/>
    <cellStyle name="Normal 4 2 2 3 3 2 6 2 2" xfId="16114" xr:uid="{E509AB81-1AD4-48BC-AED8-C144683C2A6B}"/>
    <cellStyle name="Normal 4 2 2 3 3 2 6 3" xfId="11897" xr:uid="{1D8092DA-DEBB-4E49-BAD7-30288E19095E}"/>
    <cellStyle name="Normal 4 2 2 3 3 2 7" xfId="4723" xr:uid="{00000000-0005-0000-0000-000058120000}"/>
    <cellStyle name="Normal 4 2 2 3 3 2 7 2" xfId="14049" xr:uid="{AA0BD069-814B-48A1-9C48-CE00C321A6A9}"/>
    <cellStyle name="Normal 4 2 2 3 3 2 8" xfId="9094" xr:uid="{1333D468-E252-4686-88C1-38A56B910A8E}"/>
    <cellStyle name="Normal 4 2 2 3 3 2 8 2" xfId="18418" xr:uid="{9D234608-1954-4235-B4FA-63F632423A54}"/>
    <cellStyle name="Normal 4 2 2 3 3 2 9" xfId="9832" xr:uid="{44565148-E4A5-446B-819D-C2E3673C609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7F9E1631-BD12-4380-9695-03BBD19ACBE3}"/>
    <cellStyle name="Normal 4 2 2 3 3 3 2 3" xfId="12389" xr:uid="{57B83830-CFD4-4077-B3FC-408268F408A8}"/>
    <cellStyle name="Normal 4 2 2 3 3 3 3" xfId="5135" xr:uid="{00000000-0005-0000-0000-00005C120000}"/>
    <cellStyle name="Normal 4 2 2 3 3 3 3 2" xfId="14461" xr:uid="{D3F4109D-CD61-4391-B76C-0B883AA379B3}"/>
    <cellStyle name="Normal 4 2 2 3 3 3 4" xfId="9312" xr:uid="{0065946C-778C-4913-8F8B-68BBB1A30769}"/>
    <cellStyle name="Normal 4 2 2 3 3 3 4 2" xfId="18627" xr:uid="{C65CE124-8F69-4BF9-BF2C-BA19C57B57EC}"/>
    <cellStyle name="Normal 4 2 2 3 3 3 5" xfId="10244" xr:uid="{843136C9-84AF-46CF-BDF8-41EE988622EE}"/>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40E0AFB0-79FE-4793-BC1A-7EE2A96FEB53}"/>
    <cellStyle name="Normal 4 2 2 3 3 4 2 3" xfId="12802" xr:uid="{21853445-9EA0-4C39-B848-9BD8B3BC49A0}"/>
    <cellStyle name="Normal 4 2 2 3 3 4 3" xfId="5548" xr:uid="{00000000-0005-0000-0000-000060120000}"/>
    <cellStyle name="Normal 4 2 2 3 3 4 3 2" xfId="14874" xr:uid="{FD267F27-7ED6-43B1-8E18-7889F4F2570B}"/>
    <cellStyle name="Normal 4 2 2 3 3 4 4" xfId="10657" xr:uid="{29D6DE71-6791-41FA-B77F-BA8DFFB037FC}"/>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14BEE6BF-2E08-4081-8FD3-FF8B2A3EC88B}"/>
    <cellStyle name="Normal 4 2 2 3 3 5 2 3" xfId="13215" xr:uid="{A7FC5921-D79D-4590-9BAF-8368C788CD1C}"/>
    <cellStyle name="Normal 4 2 2 3 3 5 3" xfId="5961" xr:uid="{00000000-0005-0000-0000-000064120000}"/>
    <cellStyle name="Normal 4 2 2 3 3 5 3 2" xfId="15287" xr:uid="{43466FE8-9644-49AD-ACB1-809A002C9C9E}"/>
    <cellStyle name="Normal 4 2 2 3 3 5 4" xfId="11070" xr:uid="{CC513027-048C-459B-8F1C-D03801A62383}"/>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BB265040-4E99-4556-ABB9-101F8461D0E6}"/>
    <cellStyle name="Normal 4 2 2 3 3 6 2 3" xfId="13628" xr:uid="{530A981B-0057-4DB2-B93C-CFB383ABA004}"/>
    <cellStyle name="Normal 4 2 2 3 3 6 3" xfId="6374" xr:uid="{00000000-0005-0000-0000-000068120000}"/>
    <cellStyle name="Normal 4 2 2 3 3 6 3 2" xfId="15700" xr:uid="{45053A54-D61A-4107-B7CB-C2463919CC6E}"/>
    <cellStyle name="Normal 4 2 2 3 3 6 4" xfId="11483" xr:uid="{3CEC5C6E-81B3-4334-BADB-FC1ED5FF6A74}"/>
    <cellStyle name="Normal 4 2 2 3 3 7" xfId="2504" xr:uid="{00000000-0005-0000-0000-000069120000}"/>
    <cellStyle name="Normal 4 2 2 3 3 7 2" xfId="6787" xr:uid="{00000000-0005-0000-0000-00006A120000}"/>
    <cellStyle name="Normal 4 2 2 3 3 7 2 2" xfId="16113" xr:uid="{DEDBAC5D-3A64-47FD-959B-A12D50FF3277}"/>
    <cellStyle name="Normal 4 2 2 3 3 7 3" xfId="11896" xr:uid="{F6E5D50C-67D2-4EEB-BCA8-E0EE9C705BD8}"/>
    <cellStyle name="Normal 4 2 2 3 3 8" xfId="4722" xr:uid="{00000000-0005-0000-0000-00006B120000}"/>
    <cellStyle name="Normal 4 2 2 3 3 8 2" xfId="14048" xr:uid="{08AA3965-7EFA-4220-9596-996CECCD4D65}"/>
    <cellStyle name="Normal 4 2 2 3 3 9" xfId="8887" xr:uid="{FD79599D-FD4F-44F4-A7A6-B948A2C15DD2}"/>
    <cellStyle name="Normal 4 2 2 3 3 9 2" xfId="18211" xr:uid="{C0647E04-8072-4E27-A61A-5AEB741D3297}"/>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44503EE6-54DC-40EB-96B4-CD846EF8BCA0}"/>
    <cellStyle name="Normal 4 2 2 3 4 2 2 3" xfId="12391" xr:uid="{850EF19A-D36D-4025-9B13-178E1B043972}"/>
    <cellStyle name="Normal 4 2 2 3 4 2 3" xfId="5137" xr:uid="{00000000-0005-0000-0000-000070120000}"/>
    <cellStyle name="Normal 4 2 2 3 4 2 3 2" xfId="14463" xr:uid="{962CE07C-0CC9-4188-8AF4-BB19AEA0562A}"/>
    <cellStyle name="Normal 4 2 2 3 4 2 4" xfId="9416" xr:uid="{B0F1A5CD-0EDE-48A7-9669-6902681F696C}"/>
    <cellStyle name="Normal 4 2 2 3 4 2 4 2" xfId="18731" xr:uid="{745999E1-F138-4AE0-9E20-DBF7C5A1BAA0}"/>
    <cellStyle name="Normal 4 2 2 3 4 2 5" xfId="10246" xr:uid="{88D8BAB9-D439-43D2-A303-EE8EAAB734A3}"/>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B9CA07FA-2805-411F-B474-0FE332D32801}"/>
    <cellStyle name="Normal 4 2 2 3 4 3 2 3" xfId="12804" xr:uid="{0111B847-EB46-4DB9-B0EA-BEC2A87E454D}"/>
    <cellStyle name="Normal 4 2 2 3 4 3 3" xfId="5550" xr:uid="{00000000-0005-0000-0000-000074120000}"/>
    <cellStyle name="Normal 4 2 2 3 4 3 3 2" xfId="14876" xr:uid="{7153645B-9A67-4693-B6EC-4FD453A9DB3E}"/>
    <cellStyle name="Normal 4 2 2 3 4 3 4" xfId="10659" xr:uid="{6ABC5781-053E-4A98-83A4-1ADC01B2F82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B509A693-447E-4E55-A33D-8359BCCA3D8E}"/>
    <cellStyle name="Normal 4 2 2 3 4 4 2 3" xfId="13217" xr:uid="{54F735B4-0F1C-455F-8926-674711B8F4CC}"/>
    <cellStyle name="Normal 4 2 2 3 4 4 3" xfId="5963" xr:uid="{00000000-0005-0000-0000-000078120000}"/>
    <cellStyle name="Normal 4 2 2 3 4 4 3 2" xfId="15289" xr:uid="{B182F227-18EB-4B79-A3FF-E9277464DD30}"/>
    <cellStyle name="Normal 4 2 2 3 4 4 4" xfId="11072" xr:uid="{EF39D139-65D7-4ADE-BA77-40564128EB4F}"/>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79650ECC-CB74-4B29-AE3D-C91BA07F68D0}"/>
    <cellStyle name="Normal 4 2 2 3 4 5 2 3" xfId="13630" xr:uid="{CBFDEAE6-BF84-48EF-8F07-9157935DD2A5}"/>
    <cellStyle name="Normal 4 2 2 3 4 5 3" xfId="6376" xr:uid="{00000000-0005-0000-0000-00007C120000}"/>
    <cellStyle name="Normal 4 2 2 3 4 5 3 2" xfId="15702" xr:uid="{0781E5DF-011A-4640-A886-70BC75EBAC5B}"/>
    <cellStyle name="Normal 4 2 2 3 4 5 4" xfId="11485" xr:uid="{3C43EA79-4FC7-4271-B6A1-B4237BA60BD8}"/>
    <cellStyle name="Normal 4 2 2 3 4 6" xfId="2506" xr:uid="{00000000-0005-0000-0000-00007D120000}"/>
    <cellStyle name="Normal 4 2 2 3 4 6 2" xfId="6789" xr:uid="{00000000-0005-0000-0000-00007E120000}"/>
    <cellStyle name="Normal 4 2 2 3 4 6 2 2" xfId="16115" xr:uid="{F4E751C4-F8F7-42B0-AB3C-CE71DFA19DDE}"/>
    <cellStyle name="Normal 4 2 2 3 4 6 3" xfId="11898" xr:uid="{D656E1D9-5995-45A4-AE1B-758EA4758E25}"/>
    <cellStyle name="Normal 4 2 2 3 4 7" xfId="4724" xr:uid="{00000000-0005-0000-0000-00007F120000}"/>
    <cellStyle name="Normal 4 2 2 3 4 7 2" xfId="14050" xr:uid="{269DD082-B17C-44BC-879B-7BA2E0BA00B8}"/>
    <cellStyle name="Normal 4 2 2 3 4 8" xfId="8991" xr:uid="{84464EC3-90C2-4B18-8399-135C935528F7}"/>
    <cellStyle name="Normal 4 2 2 3 4 8 2" xfId="18315" xr:uid="{130F150D-C30C-4245-8E5F-48E90C29E68B}"/>
    <cellStyle name="Normal 4 2 2 3 4 9" xfId="9833" xr:uid="{7656D185-D6F1-465B-9FB2-6B146479B048}"/>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2FA78970-E850-4BB5-9B55-4C8E0F8C75E0}"/>
    <cellStyle name="Normal 4 2 2 3 5 2 3" xfId="12384" xr:uid="{17A4014F-CF51-4920-97B7-307B78DD096E}"/>
    <cellStyle name="Normal 4 2 2 3 5 3" xfId="5130" xr:uid="{00000000-0005-0000-0000-000083120000}"/>
    <cellStyle name="Normal 4 2 2 3 5 3 2" xfId="14456" xr:uid="{286CF964-AFFA-4120-BE65-70DF4249F49E}"/>
    <cellStyle name="Normal 4 2 2 3 5 4" xfId="9208" xr:uid="{7BF9CD11-B90D-42F2-928D-A8BE344C6F46}"/>
    <cellStyle name="Normal 4 2 2 3 5 4 2" xfId="18524" xr:uid="{70823CF0-684C-49A1-B38E-20845E7AE81D}"/>
    <cellStyle name="Normal 4 2 2 3 5 5" xfId="10239" xr:uid="{ED34286D-E6C0-4D8D-A3EA-CBDCE16FBFC9}"/>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C5A2F27A-1902-45FC-9A12-4851822B4D18}"/>
    <cellStyle name="Normal 4 2 2 3 6 2 3" xfId="12797" xr:uid="{43CA0930-9D8D-4DB3-9C80-E26939E85FF4}"/>
    <cellStyle name="Normal 4 2 2 3 6 3" xfId="5543" xr:uid="{00000000-0005-0000-0000-000087120000}"/>
    <cellStyle name="Normal 4 2 2 3 6 3 2" xfId="14869" xr:uid="{12E92C2F-BC1A-4F3B-92F7-692AD8C97413}"/>
    <cellStyle name="Normal 4 2 2 3 6 4" xfId="10652" xr:uid="{9FC48D44-213D-4F8B-9C0D-4B1A2AD5AE2A}"/>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BE6CC6C8-7C12-4C74-848D-1C2F16CC4FBC}"/>
    <cellStyle name="Normal 4 2 2 3 7 2 3" xfId="13210" xr:uid="{8A619625-8956-4284-BAD4-8B4DFE5746B1}"/>
    <cellStyle name="Normal 4 2 2 3 7 3" xfId="5956" xr:uid="{00000000-0005-0000-0000-00008B120000}"/>
    <cellStyle name="Normal 4 2 2 3 7 3 2" xfId="15282" xr:uid="{8682DC96-5516-4870-93E6-65D839471107}"/>
    <cellStyle name="Normal 4 2 2 3 7 4" xfId="11065" xr:uid="{D60FC8B2-DCB0-4864-B7BB-CF3B5E54B5BE}"/>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0C8F33D4-F5AB-4CE9-B9AA-DFB06BF02934}"/>
    <cellStyle name="Normal 4 2 2 3 8 2 3" xfId="13623" xr:uid="{FDCF6F89-22A2-4626-BE7D-4F48402EF7A5}"/>
    <cellStyle name="Normal 4 2 2 3 8 3" xfId="6369" xr:uid="{00000000-0005-0000-0000-00008F120000}"/>
    <cellStyle name="Normal 4 2 2 3 8 3 2" xfId="15695" xr:uid="{37FB05B6-C068-4CFF-9A7D-1407DE40A3C2}"/>
    <cellStyle name="Normal 4 2 2 3 8 4" xfId="11478" xr:uid="{63BDF8E4-96A9-499D-8992-09CF5D8BE4F2}"/>
    <cellStyle name="Normal 4 2 2 3 9" xfId="2499" xr:uid="{00000000-0005-0000-0000-000090120000}"/>
    <cellStyle name="Normal 4 2 2 3 9 2" xfId="6782" xr:uid="{00000000-0005-0000-0000-000091120000}"/>
    <cellStyle name="Normal 4 2 2 3 9 2 2" xfId="16108" xr:uid="{EF3B7A2E-FDC5-4F97-9ABD-C88A06B422C8}"/>
    <cellStyle name="Normal 4 2 2 3 9 3" xfId="11891" xr:uid="{47A49D66-050F-4CCE-8A5F-10CECF913F88}"/>
    <cellStyle name="Normal 4 2 2 4" xfId="347" xr:uid="{00000000-0005-0000-0000-000092120000}"/>
    <cellStyle name="Normal 4 2 2 4 10" xfId="8818" xr:uid="{A73977A7-52C6-4368-9F59-166E1B99BBDE}"/>
    <cellStyle name="Normal 4 2 2 4 10 2" xfId="18142" xr:uid="{44479D7C-B75C-401B-9B86-DEA1141874BF}"/>
    <cellStyle name="Normal 4 2 2 4 11" xfId="9834" xr:uid="{529BF1AE-16EA-4E95-9C8A-19B424035FB4}"/>
    <cellStyle name="Normal 4 2 2 4 2" xfId="348" xr:uid="{00000000-0005-0000-0000-000093120000}"/>
    <cellStyle name="Normal 4 2 2 4 2 10" xfId="9835" xr:uid="{B9AEBBF3-4DB9-4C15-9FDC-C5C1BFBD0794}"/>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D6E460F6-FF0A-472E-BDB2-01DF806159FD}"/>
    <cellStyle name="Normal 4 2 2 4 2 2 2 2 3" xfId="12394" xr:uid="{3F8AC584-55A7-4A4D-8658-887C404D7686}"/>
    <cellStyle name="Normal 4 2 2 4 2 2 2 3" xfId="5140" xr:uid="{00000000-0005-0000-0000-000098120000}"/>
    <cellStyle name="Normal 4 2 2 4 2 2 2 3 2" xfId="14466" xr:uid="{92D0C508-66D2-4F6C-9A71-FF76FEEC411F}"/>
    <cellStyle name="Normal 4 2 2 4 2 2 2 4" xfId="9553" xr:uid="{7FCAF883-2374-4470-BA95-AD8EB054639C}"/>
    <cellStyle name="Normal 4 2 2 4 2 2 2 4 2" xfId="18868" xr:uid="{98FDBAF3-19AE-4AC7-B879-5CE93CB2AC0B}"/>
    <cellStyle name="Normal 4 2 2 4 2 2 2 5" xfId="10249" xr:uid="{715A17FE-CAEB-433E-9042-4140B52E20F8}"/>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E8F4A036-D6CF-4462-911D-FA38C95268B4}"/>
    <cellStyle name="Normal 4 2 2 4 2 2 3 2 3" xfId="12807" xr:uid="{F9003470-F26D-4A73-BCC1-BAC3B52E7B93}"/>
    <cellStyle name="Normal 4 2 2 4 2 2 3 3" xfId="5553" xr:uid="{00000000-0005-0000-0000-00009C120000}"/>
    <cellStyle name="Normal 4 2 2 4 2 2 3 3 2" xfId="14879" xr:uid="{6DDB16CD-7D95-4248-B1FC-8E2C7A334087}"/>
    <cellStyle name="Normal 4 2 2 4 2 2 3 4" xfId="10662" xr:uid="{F7FF4486-B206-4E8B-8FEC-AD02BE9D96BA}"/>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E5C8B006-00B0-4683-99B8-F52551939C13}"/>
    <cellStyle name="Normal 4 2 2 4 2 2 4 2 3" xfId="13220" xr:uid="{51AF2952-E310-4BFB-91DA-64DCA572E720}"/>
    <cellStyle name="Normal 4 2 2 4 2 2 4 3" xfId="5966" xr:uid="{00000000-0005-0000-0000-0000A0120000}"/>
    <cellStyle name="Normal 4 2 2 4 2 2 4 3 2" xfId="15292" xr:uid="{E6DC283E-04B1-48C6-9A0C-331CD63CB212}"/>
    <cellStyle name="Normal 4 2 2 4 2 2 4 4" xfId="11075" xr:uid="{69E973E2-818C-46D6-B07E-8672AB8FEED5}"/>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E5F24D5D-167B-4B43-A492-B46158FA8A76}"/>
    <cellStyle name="Normal 4 2 2 4 2 2 5 2 3" xfId="13633" xr:uid="{B424E17E-B0AF-489A-A6EC-0FD3EC0D3122}"/>
    <cellStyle name="Normal 4 2 2 4 2 2 5 3" xfId="6379" xr:uid="{00000000-0005-0000-0000-0000A4120000}"/>
    <cellStyle name="Normal 4 2 2 4 2 2 5 3 2" xfId="15705" xr:uid="{108BC5AE-A45E-4A56-AE82-5215A698359A}"/>
    <cellStyle name="Normal 4 2 2 4 2 2 5 4" xfId="11488" xr:uid="{D986273D-62A1-4149-9449-8BB68AF32D7E}"/>
    <cellStyle name="Normal 4 2 2 4 2 2 6" xfId="2509" xr:uid="{00000000-0005-0000-0000-0000A5120000}"/>
    <cellStyle name="Normal 4 2 2 4 2 2 6 2" xfId="6792" xr:uid="{00000000-0005-0000-0000-0000A6120000}"/>
    <cellStyle name="Normal 4 2 2 4 2 2 6 2 2" xfId="16118" xr:uid="{70CBE3EA-F565-4CB7-BBF6-A74D169AF915}"/>
    <cellStyle name="Normal 4 2 2 4 2 2 6 3" xfId="11901" xr:uid="{9A923C46-C001-4045-B428-E0D55D1BC64C}"/>
    <cellStyle name="Normal 4 2 2 4 2 2 7" xfId="4727" xr:uid="{00000000-0005-0000-0000-0000A7120000}"/>
    <cellStyle name="Normal 4 2 2 4 2 2 7 2" xfId="14053" xr:uid="{A1CDBE9B-84C1-4BFE-9B4C-74AD69D6C454}"/>
    <cellStyle name="Normal 4 2 2 4 2 2 8" xfId="9128" xr:uid="{3D9AD2A4-E3D1-4BAF-8F43-BFB1FE8E222D}"/>
    <cellStyle name="Normal 4 2 2 4 2 2 8 2" xfId="18452" xr:uid="{93F0A402-133F-4887-B1F1-F9D304A8CCFC}"/>
    <cellStyle name="Normal 4 2 2 4 2 2 9" xfId="9836" xr:uid="{43410833-4F18-4EA2-84EE-3A8DEE7FA167}"/>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F360E031-63E3-4F22-8A41-6E5268DC8DAE}"/>
    <cellStyle name="Normal 4 2 2 4 2 3 2 3" xfId="12393" xr:uid="{A9EA355A-610D-446D-BDCC-94A70C35D0E9}"/>
    <cellStyle name="Normal 4 2 2 4 2 3 3" xfId="5139" xr:uid="{00000000-0005-0000-0000-0000AB120000}"/>
    <cellStyle name="Normal 4 2 2 4 2 3 3 2" xfId="14465" xr:uid="{24D13358-377C-4607-9333-52EF705CE78D}"/>
    <cellStyle name="Normal 4 2 2 4 2 3 4" xfId="9346" xr:uid="{11110DEC-01F5-467C-B0F9-3286FF7E57CB}"/>
    <cellStyle name="Normal 4 2 2 4 2 3 4 2" xfId="18661" xr:uid="{48098714-2B03-4FFE-B075-C0F964562FDC}"/>
    <cellStyle name="Normal 4 2 2 4 2 3 5" xfId="10248" xr:uid="{6A9B58E6-E638-4668-A6E5-4D3C03D5AAE8}"/>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87B76DF8-B323-47BF-A000-24E051C879C4}"/>
    <cellStyle name="Normal 4 2 2 4 2 4 2 3" xfId="12806" xr:uid="{6EFEAE32-D113-4B13-A4CD-025876C91A6E}"/>
    <cellStyle name="Normal 4 2 2 4 2 4 3" xfId="5552" xr:uid="{00000000-0005-0000-0000-0000AF120000}"/>
    <cellStyle name="Normal 4 2 2 4 2 4 3 2" xfId="14878" xr:uid="{23748798-905E-4F35-8824-5413D5DF59BA}"/>
    <cellStyle name="Normal 4 2 2 4 2 4 4" xfId="10661" xr:uid="{A7B1FF2F-25B8-41E3-BCA6-1C3BB55B6C9B}"/>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025DF8F4-51FA-4BEB-ADF1-BD930FB12136}"/>
    <cellStyle name="Normal 4 2 2 4 2 5 2 3" xfId="13219" xr:uid="{74C41F27-0176-4BD6-BFE1-4073F8D24DF2}"/>
    <cellStyle name="Normal 4 2 2 4 2 5 3" xfId="5965" xr:uid="{00000000-0005-0000-0000-0000B3120000}"/>
    <cellStyle name="Normal 4 2 2 4 2 5 3 2" xfId="15291" xr:uid="{D0F9DA5E-6CD3-4F1C-8711-8FEA62A46A2B}"/>
    <cellStyle name="Normal 4 2 2 4 2 5 4" xfId="11074" xr:uid="{7650891B-3DD0-456E-95B8-8420AE83512E}"/>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EAF82CD4-91E9-449C-A5D8-C1715F3C114A}"/>
    <cellStyle name="Normal 4 2 2 4 2 6 2 3" xfId="13632" xr:uid="{4C822761-D161-4347-836E-76CCE57ED847}"/>
    <cellStyle name="Normal 4 2 2 4 2 6 3" xfId="6378" xr:uid="{00000000-0005-0000-0000-0000B7120000}"/>
    <cellStyle name="Normal 4 2 2 4 2 6 3 2" xfId="15704" xr:uid="{13C29EC2-3A0C-436C-BBC8-4414F2826092}"/>
    <cellStyle name="Normal 4 2 2 4 2 6 4" xfId="11487" xr:uid="{C1E2CC7B-7FFA-4FFB-947A-63394F6B679C}"/>
    <cellStyle name="Normal 4 2 2 4 2 7" xfId="2508" xr:uid="{00000000-0005-0000-0000-0000B8120000}"/>
    <cellStyle name="Normal 4 2 2 4 2 7 2" xfId="6791" xr:uid="{00000000-0005-0000-0000-0000B9120000}"/>
    <cellStyle name="Normal 4 2 2 4 2 7 2 2" xfId="16117" xr:uid="{B21D9472-88EB-40C1-B2D5-1972FA3B0895}"/>
    <cellStyle name="Normal 4 2 2 4 2 7 3" xfId="11900" xr:uid="{9038AF70-34C2-4F22-B8F3-AF56FBD037C7}"/>
    <cellStyle name="Normal 4 2 2 4 2 8" xfId="4726" xr:uid="{00000000-0005-0000-0000-0000BA120000}"/>
    <cellStyle name="Normal 4 2 2 4 2 8 2" xfId="14052" xr:uid="{09DD6BD4-0B4D-43D6-85F4-962D04CAA004}"/>
    <cellStyle name="Normal 4 2 2 4 2 9" xfId="8921" xr:uid="{43AA3CA1-A6D2-47CC-8276-CBFAB7238AA6}"/>
    <cellStyle name="Normal 4 2 2 4 2 9 2" xfId="18245" xr:uid="{66CE0355-1C3A-4220-BAF6-9F62D96D65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69EA76B2-FC58-4C3C-874C-CC60E74A00A5}"/>
    <cellStyle name="Normal 4 2 2 4 3 2 2 3" xfId="12395" xr:uid="{64C32040-6663-4DA3-87B0-861EC63FA3FE}"/>
    <cellStyle name="Normal 4 2 2 4 3 2 3" xfId="5141" xr:uid="{00000000-0005-0000-0000-0000BF120000}"/>
    <cellStyle name="Normal 4 2 2 4 3 2 3 2" xfId="14467" xr:uid="{68F53620-C133-45A7-B9EC-3983CB7857E1}"/>
    <cellStyle name="Normal 4 2 2 4 3 2 4" xfId="9450" xr:uid="{0F54578A-5DA3-4B6E-9E36-71CC7CD6BFE8}"/>
    <cellStyle name="Normal 4 2 2 4 3 2 4 2" xfId="18765" xr:uid="{D65B8A0A-A390-480D-99DD-EA4499BB1B45}"/>
    <cellStyle name="Normal 4 2 2 4 3 2 5" xfId="10250" xr:uid="{FBF9B553-1E2E-4281-8DD3-FAD1D238616B}"/>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8C730198-6CAE-4937-A71B-D597CC30FA84}"/>
    <cellStyle name="Normal 4 2 2 4 3 3 2 3" xfId="12808" xr:uid="{FAB228EB-8E15-4458-AE21-9A126B444C56}"/>
    <cellStyle name="Normal 4 2 2 4 3 3 3" xfId="5554" xr:uid="{00000000-0005-0000-0000-0000C3120000}"/>
    <cellStyle name="Normal 4 2 2 4 3 3 3 2" xfId="14880" xr:uid="{5344750E-F1AD-4A05-87C3-B646E363E71E}"/>
    <cellStyle name="Normal 4 2 2 4 3 3 4" xfId="10663" xr:uid="{798E135D-CAD9-4883-AB30-E35FE9B9FDCD}"/>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DAD0B2D8-570E-467A-9640-F57B5FB0746E}"/>
    <cellStyle name="Normal 4 2 2 4 3 4 2 3" xfId="13221" xr:uid="{6F261134-CDEC-4C17-A0FE-B8BD0EAF047D}"/>
    <cellStyle name="Normal 4 2 2 4 3 4 3" xfId="5967" xr:uid="{00000000-0005-0000-0000-0000C7120000}"/>
    <cellStyle name="Normal 4 2 2 4 3 4 3 2" xfId="15293" xr:uid="{157A6EE1-4E07-4A1A-9E81-E6250957D5BE}"/>
    <cellStyle name="Normal 4 2 2 4 3 4 4" xfId="11076" xr:uid="{33BEF51B-FBF5-48EB-AAAA-652DECAE4DD6}"/>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64C57D5B-E4B2-4386-B216-6DBB08910EE4}"/>
    <cellStyle name="Normal 4 2 2 4 3 5 2 3" xfId="13634" xr:uid="{AC32D07F-4882-4E78-8A26-26317A3EC33F}"/>
    <cellStyle name="Normal 4 2 2 4 3 5 3" xfId="6380" xr:uid="{00000000-0005-0000-0000-0000CB120000}"/>
    <cellStyle name="Normal 4 2 2 4 3 5 3 2" xfId="15706" xr:uid="{94506CF1-720D-4AB8-A32F-84AB43AC02C8}"/>
    <cellStyle name="Normal 4 2 2 4 3 5 4" xfId="11489" xr:uid="{42559744-15CF-4DE0-ACBB-5BDE6F0AF484}"/>
    <cellStyle name="Normal 4 2 2 4 3 6" xfId="2510" xr:uid="{00000000-0005-0000-0000-0000CC120000}"/>
    <cellStyle name="Normal 4 2 2 4 3 6 2" xfId="6793" xr:uid="{00000000-0005-0000-0000-0000CD120000}"/>
    <cellStyle name="Normal 4 2 2 4 3 6 2 2" xfId="16119" xr:uid="{2A8335DA-367F-4208-8F13-E6CA7904BF79}"/>
    <cellStyle name="Normal 4 2 2 4 3 6 3" xfId="11902" xr:uid="{28221546-42C7-40DE-9E94-74D73AC3B0D0}"/>
    <cellStyle name="Normal 4 2 2 4 3 7" xfId="4728" xr:uid="{00000000-0005-0000-0000-0000CE120000}"/>
    <cellStyle name="Normal 4 2 2 4 3 7 2" xfId="14054" xr:uid="{6BEFA6BA-460D-48D4-9BEC-4676F7606BD8}"/>
    <cellStyle name="Normal 4 2 2 4 3 8" xfId="9025" xr:uid="{436CB353-A916-4AB2-B5E2-8C1BDAEA1182}"/>
    <cellStyle name="Normal 4 2 2 4 3 8 2" xfId="18349" xr:uid="{97205B56-29E0-4562-A8B0-8BAAFE25AE75}"/>
    <cellStyle name="Normal 4 2 2 4 3 9" xfId="9837" xr:uid="{44F2C5C9-35D5-437A-81EC-DC6A0EB0C64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DEA5F83F-887F-4F49-8773-EEF750C79753}"/>
    <cellStyle name="Normal 4 2 2 4 4 2 3" xfId="12392" xr:uid="{50CFDD11-140E-4040-86BD-B61085FEBD3C}"/>
    <cellStyle name="Normal 4 2 2 4 4 3" xfId="5138" xr:uid="{00000000-0005-0000-0000-0000D2120000}"/>
    <cellStyle name="Normal 4 2 2 4 4 3 2" xfId="14464" xr:uid="{E40B27C0-7774-47C7-AD0A-92E372F71F13}"/>
    <cellStyle name="Normal 4 2 2 4 4 4" xfId="9243" xr:uid="{FD46A281-F5BE-478B-950E-209D1D56FC0E}"/>
    <cellStyle name="Normal 4 2 2 4 4 4 2" xfId="18558" xr:uid="{8EBAD1C8-560C-47B7-9B8B-CBAD1E915A7A}"/>
    <cellStyle name="Normal 4 2 2 4 4 5" xfId="10247" xr:uid="{70080887-C271-4D7F-A784-D1873BED7DEB}"/>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A6606713-6474-48D7-9316-A5C505A7954F}"/>
    <cellStyle name="Normal 4 2 2 4 5 2 3" xfId="12805" xr:uid="{4E44751E-D4EB-485B-BB3D-FD4FE3D0A0D6}"/>
    <cellStyle name="Normal 4 2 2 4 5 3" xfId="5551" xr:uid="{00000000-0005-0000-0000-0000D6120000}"/>
    <cellStyle name="Normal 4 2 2 4 5 3 2" xfId="14877" xr:uid="{3D1E17E8-86F6-4910-9623-B8E9FDE06313}"/>
    <cellStyle name="Normal 4 2 2 4 5 4" xfId="10660" xr:uid="{8AD424FA-48BA-4D50-BF9F-D94A5B6781E8}"/>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87925D5D-5EA4-49A0-A260-D95E5A59821E}"/>
    <cellStyle name="Normal 4 2 2 4 6 2 3" xfId="13218" xr:uid="{F9CF8085-71A7-43BD-A1E6-F5807CE3D3C1}"/>
    <cellStyle name="Normal 4 2 2 4 6 3" xfId="5964" xr:uid="{00000000-0005-0000-0000-0000DA120000}"/>
    <cellStyle name="Normal 4 2 2 4 6 3 2" xfId="15290" xr:uid="{5AC72D06-AC99-4649-BB65-399DCA510F7E}"/>
    <cellStyle name="Normal 4 2 2 4 6 4" xfId="11073" xr:uid="{0F54C42C-D2D1-4236-8FB2-2F1821ADE3E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3C57A534-2B90-49B9-864F-9AE172B29476}"/>
    <cellStyle name="Normal 4 2 2 4 7 2 3" xfId="13631" xr:uid="{ECB4004E-2E5C-4D3D-8A09-A6889BEA3B01}"/>
    <cellStyle name="Normal 4 2 2 4 7 3" xfId="6377" xr:uid="{00000000-0005-0000-0000-0000DE120000}"/>
    <cellStyle name="Normal 4 2 2 4 7 3 2" xfId="15703" xr:uid="{202F42B6-15BB-4B02-B4BE-638F83DF6986}"/>
    <cellStyle name="Normal 4 2 2 4 7 4" xfId="11486" xr:uid="{8DE0BCB0-7588-42A7-8875-810D959C3210}"/>
    <cellStyle name="Normal 4 2 2 4 8" xfId="2507" xr:uid="{00000000-0005-0000-0000-0000DF120000}"/>
    <cellStyle name="Normal 4 2 2 4 8 2" xfId="6790" xr:uid="{00000000-0005-0000-0000-0000E0120000}"/>
    <cellStyle name="Normal 4 2 2 4 8 2 2" xfId="16116" xr:uid="{EF083CD9-E7F0-49B9-BAB3-1C82105EA82B}"/>
    <cellStyle name="Normal 4 2 2 4 8 3" xfId="11899" xr:uid="{8B35312C-E065-4C69-8BBC-0EBD210FBA3F}"/>
    <cellStyle name="Normal 4 2 2 4 9" xfId="4725" xr:uid="{00000000-0005-0000-0000-0000E1120000}"/>
    <cellStyle name="Normal 4 2 2 4 9 2" xfId="14051" xr:uid="{A8ECFE00-6ADF-42D8-B203-D640B3F69DF1}"/>
    <cellStyle name="Normal 4 2 2 5" xfId="351" xr:uid="{00000000-0005-0000-0000-0000E2120000}"/>
    <cellStyle name="Normal 4 2 2 5 10" xfId="9838" xr:uid="{36C65D99-E52B-4339-978C-BFA0252A4F74}"/>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E6E7F1CC-BA42-4D8C-98FB-484CBEDE0775}"/>
    <cellStyle name="Normal 4 2 2 5 2 2 2 3" xfId="12397" xr:uid="{5FDF1FED-BA9F-4076-BAF4-DCBDF9E8A070}"/>
    <cellStyle name="Normal 4 2 2 5 2 2 3" xfId="5143" xr:uid="{00000000-0005-0000-0000-0000E7120000}"/>
    <cellStyle name="Normal 4 2 2 5 2 2 3 2" xfId="14469" xr:uid="{1D7EC618-0198-40BB-AB3A-A8B87D639492}"/>
    <cellStyle name="Normal 4 2 2 5 2 2 4" xfId="9487" xr:uid="{83D2756E-B983-4EA9-AB48-FF4D3E821CE4}"/>
    <cellStyle name="Normal 4 2 2 5 2 2 4 2" xfId="18802" xr:uid="{9C809667-A8C1-4CDE-AD3C-AA6F41A80175}"/>
    <cellStyle name="Normal 4 2 2 5 2 2 5" xfId="10252" xr:uid="{63068303-2A0D-4089-9E65-4A490B822DE7}"/>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2E7FB167-D9A9-4FD1-A447-1810B4E92B49}"/>
    <cellStyle name="Normal 4 2 2 5 2 3 2 3" xfId="12810" xr:uid="{CC642FE2-FEBA-4708-96A6-A33B14CEE665}"/>
    <cellStyle name="Normal 4 2 2 5 2 3 3" xfId="5556" xr:uid="{00000000-0005-0000-0000-0000EB120000}"/>
    <cellStyle name="Normal 4 2 2 5 2 3 3 2" xfId="14882" xr:uid="{F364B73B-D6FE-429B-AA13-8F4C7F85DE50}"/>
    <cellStyle name="Normal 4 2 2 5 2 3 4" xfId="10665" xr:uid="{5348C356-B2B2-452B-9612-FD0F0DD3A5B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FF2F5118-9371-4B0A-881E-489E5174A0F8}"/>
    <cellStyle name="Normal 4 2 2 5 2 4 2 3" xfId="13223" xr:uid="{384312F4-FE58-4C13-B61F-7C437596FA66}"/>
    <cellStyle name="Normal 4 2 2 5 2 4 3" xfId="5969" xr:uid="{00000000-0005-0000-0000-0000EF120000}"/>
    <cellStyle name="Normal 4 2 2 5 2 4 3 2" xfId="15295" xr:uid="{DD0E63A0-DCD9-4AE2-8282-A8868A568D54}"/>
    <cellStyle name="Normal 4 2 2 5 2 4 4" xfId="11078" xr:uid="{90D9DC2D-DBE3-497A-9FE9-ECB5DA84FBA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8D7711D8-CAC6-47BA-9A1B-3710674C0AD7}"/>
    <cellStyle name="Normal 4 2 2 5 2 5 2 3" xfId="13636" xr:uid="{954E535F-011E-435D-9C8B-299271348805}"/>
    <cellStyle name="Normal 4 2 2 5 2 5 3" xfId="6382" xr:uid="{00000000-0005-0000-0000-0000F3120000}"/>
    <cellStyle name="Normal 4 2 2 5 2 5 3 2" xfId="15708" xr:uid="{3C46042C-BE86-4D39-A1DB-C171BD407AF3}"/>
    <cellStyle name="Normal 4 2 2 5 2 5 4" xfId="11491" xr:uid="{10FFCC0A-E36D-4F4F-87C6-39E7068C544D}"/>
    <cellStyle name="Normal 4 2 2 5 2 6" xfId="2512" xr:uid="{00000000-0005-0000-0000-0000F4120000}"/>
    <cellStyle name="Normal 4 2 2 5 2 6 2" xfId="6795" xr:uid="{00000000-0005-0000-0000-0000F5120000}"/>
    <cellStyle name="Normal 4 2 2 5 2 6 2 2" xfId="16121" xr:uid="{0915DC77-E4EF-43B4-9D95-7086DBB4ED22}"/>
    <cellStyle name="Normal 4 2 2 5 2 6 3" xfId="11904" xr:uid="{D327D343-9A4C-4C28-A2EC-8E47CCAE7A66}"/>
    <cellStyle name="Normal 4 2 2 5 2 7" xfId="4730" xr:uid="{00000000-0005-0000-0000-0000F6120000}"/>
    <cellStyle name="Normal 4 2 2 5 2 7 2" xfId="14056" xr:uid="{BBFBEEE2-3BC1-41DD-BE67-35EEBF8E386A}"/>
    <cellStyle name="Normal 4 2 2 5 2 8" xfId="9062" xr:uid="{FED54422-C2E5-44B3-AA7C-C6088F47A385}"/>
    <cellStyle name="Normal 4 2 2 5 2 8 2" xfId="18386" xr:uid="{705CE237-3BE6-4750-A8A3-AB899E58EF0C}"/>
    <cellStyle name="Normal 4 2 2 5 2 9" xfId="9839" xr:uid="{05F4BBA3-DA4C-454A-B60E-C6433CE9823C}"/>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B7075A4C-1F5C-4D68-BFE7-8F659620AF88}"/>
    <cellStyle name="Normal 4 2 2 5 3 2 3" xfId="12396" xr:uid="{E09DA970-E7D7-4D3A-92E7-D4D6C9457B62}"/>
    <cellStyle name="Normal 4 2 2 5 3 3" xfId="5142" xr:uid="{00000000-0005-0000-0000-0000FA120000}"/>
    <cellStyle name="Normal 4 2 2 5 3 3 2" xfId="14468" xr:uid="{92ABF273-3B59-4A18-AF8E-3C51BD2D7016}"/>
    <cellStyle name="Normal 4 2 2 5 3 4" xfId="9280" xr:uid="{C70B18D8-E279-4D37-82EF-3177E9FA554F}"/>
    <cellStyle name="Normal 4 2 2 5 3 4 2" xfId="18595" xr:uid="{5A04B5FF-9460-4326-A256-6FC628C4D57E}"/>
    <cellStyle name="Normal 4 2 2 5 3 5" xfId="10251" xr:uid="{EEFE0962-B57D-48F8-99C8-D7F77588771C}"/>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5FECED55-B4DB-4A4C-93F1-9619BACE36D5}"/>
    <cellStyle name="Normal 4 2 2 5 4 2 3" xfId="12809" xr:uid="{3999F7AF-B919-4575-A20D-89CD2B3831AA}"/>
    <cellStyle name="Normal 4 2 2 5 4 3" xfId="5555" xr:uid="{00000000-0005-0000-0000-0000FE120000}"/>
    <cellStyle name="Normal 4 2 2 5 4 3 2" xfId="14881" xr:uid="{8411C008-8A89-4A10-8EC0-740936965378}"/>
    <cellStyle name="Normal 4 2 2 5 4 4" xfId="10664" xr:uid="{96EF1718-FE0A-42A6-922A-B293DC8CBD0A}"/>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FB50FC01-425C-4CB8-B60C-8BF5562FD068}"/>
    <cellStyle name="Normal 4 2 2 5 5 2 3" xfId="13222" xr:uid="{6AAD70F2-9D35-438F-B83D-6005E5BF96A5}"/>
    <cellStyle name="Normal 4 2 2 5 5 3" xfId="5968" xr:uid="{00000000-0005-0000-0000-000002130000}"/>
    <cellStyle name="Normal 4 2 2 5 5 3 2" xfId="15294" xr:uid="{763B6C8C-FA3A-4C41-B090-B02716F284D3}"/>
    <cellStyle name="Normal 4 2 2 5 5 4" xfId="11077" xr:uid="{D9490F56-DE04-4D42-89EE-4FA548283DC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C3225FFF-1466-4C3C-A159-6320C6B8C2ED}"/>
    <cellStyle name="Normal 4 2 2 5 6 2 3" xfId="13635" xr:uid="{11C1137C-C801-4D0C-8CCB-EFE3FA552BF4}"/>
    <cellStyle name="Normal 4 2 2 5 6 3" xfId="6381" xr:uid="{00000000-0005-0000-0000-000006130000}"/>
    <cellStyle name="Normal 4 2 2 5 6 3 2" xfId="15707" xr:uid="{5EF8ED3D-D225-4F0B-BD38-E68C2E888394}"/>
    <cellStyle name="Normal 4 2 2 5 6 4" xfId="11490" xr:uid="{F735CCDB-1D83-4E62-BEC2-E290F7DCF287}"/>
    <cellStyle name="Normal 4 2 2 5 7" xfId="2511" xr:uid="{00000000-0005-0000-0000-000007130000}"/>
    <cellStyle name="Normal 4 2 2 5 7 2" xfId="6794" xr:uid="{00000000-0005-0000-0000-000008130000}"/>
    <cellStyle name="Normal 4 2 2 5 7 2 2" xfId="16120" xr:uid="{4088AB51-F9BB-48DD-820C-AF4A18E248C5}"/>
    <cellStyle name="Normal 4 2 2 5 7 3" xfId="11903" xr:uid="{57102890-B920-4350-9B1A-FAB8377B3CC2}"/>
    <cellStyle name="Normal 4 2 2 5 8" xfId="4729" xr:uid="{00000000-0005-0000-0000-000009130000}"/>
    <cellStyle name="Normal 4 2 2 5 8 2" xfId="14055" xr:uid="{CBC0B35B-1FA4-41B2-B614-08EE2E6B9635}"/>
    <cellStyle name="Normal 4 2 2 5 9" xfId="8855" xr:uid="{894DEE8B-A5CD-4C4E-B41D-DCEB92717109}"/>
    <cellStyle name="Normal 4 2 2 5 9 2" xfId="18179" xr:uid="{AA4710D9-40C0-4526-A54C-F0F90F0F1A16}"/>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AED90327-F687-445E-809C-3CEE6C86005B}"/>
    <cellStyle name="Normal 4 2 2 6 2 2 3" xfId="12398" xr:uid="{178818E7-CE3C-4C64-B69A-119943C76612}"/>
    <cellStyle name="Normal 4 2 2 6 2 3" xfId="5144" xr:uid="{00000000-0005-0000-0000-00000E130000}"/>
    <cellStyle name="Normal 4 2 2 6 2 3 2" xfId="14470" xr:uid="{6CE62C53-170C-4318-A9C7-2193EE6ED4FD}"/>
    <cellStyle name="Normal 4 2 2 6 2 4" xfId="9396" xr:uid="{5B10E6C6-987A-4149-BB81-321A07C7666F}"/>
    <cellStyle name="Normal 4 2 2 6 2 4 2" xfId="18711" xr:uid="{BD7AA991-2A17-4189-9900-59BFA00B4C44}"/>
    <cellStyle name="Normal 4 2 2 6 2 5" xfId="10253" xr:uid="{F4CD1971-BC84-414A-944D-ED10FA108A6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0FD7C803-36A5-4FD2-BBC3-845E52AAA224}"/>
    <cellStyle name="Normal 4 2 2 6 3 2 3" xfId="12811" xr:uid="{012513C7-B291-41E1-AC18-7F1515B7469E}"/>
    <cellStyle name="Normal 4 2 2 6 3 3" xfId="5557" xr:uid="{00000000-0005-0000-0000-000012130000}"/>
    <cellStyle name="Normal 4 2 2 6 3 3 2" xfId="14883" xr:uid="{47318856-EA3A-435E-A431-0A23B169FA56}"/>
    <cellStyle name="Normal 4 2 2 6 3 4" xfId="10666" xr:uid="{6C37B3B8-363F-4783-92D6-961BC1CDCDCA}"/>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8BB34771-7430-4CBD-9191-258456D1194A}"/>
    <cellStyle name="Normal 4 2 2 6 4 2 3" xfId="13224" xr:uid="{BA227587-E2EA-4DFC-B664-A3FA033BCEF4}"/>
    <cellStyle name="Normal 4 2 2 6 4 3" xfId="5970" xr:uid="{00000000-0005-0000-0000-000016130000}"/>
    <cellStyle name="Normal 4 2 2 6 4 3 2" xfId="15296" xr:uid="{5B200C83-66BD-4D93-BD11-E4FF25E751AA}"/>
    <cellStyle name="Normal 4 2 2 6 4 4" xfId="11079" xr:uid="{235DFA88-8514-4B3E-88B0-BEF91A62AB07}"/>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B6B159E4-52BF-4AEB-92C0-D0677DA10A21}"/>
    <cellStyle name="Normal 4 2 2 6 5 2 3" xfId="13637" xr:uid="{16D350D6-5F4B-412A-82A2-087D45101147}"/>
    <cellStyle name="Normal 4 2 2 6 5 3" xfId="6383" xr:uid="{00000000-0005-0000-0000-00001A130000}"/>
    <cellStyle name="Normal 4 2 2 6 5 3 2" xfId="15709" xr:uid="{88FF98C9-B0D4-4A61-B5DE-3CF67DDEAD6F}"/>
    <cellStyle name="Normal 4 2 2 6 5 4" xfId="11492" xr:uid="{7DF174A9-47D8-4D46-9C81-E58D79EE3CA5}"/>
    <cellStyle name="Normal 4 2 2 6 6" xfId="2513" xr:uid="{00000000-0005-0000-0000-00001B130000}"/>
    <cellStyle name="Normal 4 2 2 6 6 2" xfId="6796" xr:uid="{00000000-0005-0000-0000-00001C130000}"/>
    <cellStyle name="Normal 4 2 2 6 6 2 2" xfId="16122" xr:uid="{066C047F-6B3B-4278-96B8-67E568AF42A4}"/>
    <cellStyle name="Normal 4 2 2 6 6 3" xfId="11905" xr:uid="{D2674C19-97AE-41DC-B771-63B96CD4CEC3}"/>
    <cellStyle name="Normal 4 2 2 6 7" xfId="4731" xr:uid="{00000000-0005-0000-0000-00001D130000}"/>
    <cellStyle name="Normal 4 2 2 6 7 2" xfId="14057" xr:uid="{92BAD7ED-EAD8-42A0-B4B5-F98A393C53F2}"/>
    <cellStyle name="Normal 4 2 2 6 8" xfId="8971" xr:uid="{7BBA3CD4-2D32-439A-A2D5-9F7EB5E5A47E}"/>
    <cellStyle name="Normal 4 2 2 6 8 2" xfId="18295" xr:uid="{88C33E4E-6D47-44E3-8108-286A4D16F24E}"/>
    <cellStyle name="Normal 4 2 2 6 9" xfId="9840" xr:uid="{32EC1ACA-9361-4594-8D19-BBF332E6AAB0}"/>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D98E312C-B95C-4152-AC1E-8A09FA646048}"/>
    <cellStyle name="Normal 4 2 2 7 2 3" xfId="12383" xr:uid="{E30567AB-778C-4743-A913-526FA39BA988}"/>
    <cellStyle name="Normal 4 2 2 7 3" xfId="5129" xr:uid="{00000000-0005-0000-0000-000021130000}"/>
    <cellStyle name="Normal 4 2 2 7 3 2" xfId="14455" xr:uid="{0AAA0AB2-E461-4B61-9BE7-B5EEE0C7487B}"/>
    <cellStyle name="Normal 4 2 2 7 4" xfId="9174" xr:uid="{5FB177AF-8B2E-4B7E-A1B7-4F6E323AF880}"/>
    <cellStyle name="Normal 4 2 2 7 4 2" xfId="18492" xr:uid="{614C6111-1315-40D1-B4B3-0DAF123BC4F9}"/>
    <cellStyle name="Normal 4 2 2 7 5" xfId="10238" xr:uid="{75B08AA7-C0CF-4054-9315-05FB72F9BA67}"/>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579A6FAD-B2C1-47F2-96EC-44E93A818054}"/>
    <cellStyle name="Normal 4 2 2 8 2 3" xfId="12796" xr:uid="{FDC7CCB2-A6BA-4E24-BBA6-9C7E23794CCF}"/>
    <cellStyle name="Normal 4 2 2 8 3" xfId="5542" xr:uid="{00000000-0005-0000-0000-000025130000}"/>
    <cellStyle name="Normal 4 2 2 8 3 2" xfId="14868" xr:uid="{D3719447-71B3-4907-A35B-07F79255644C}"/>
    <cellStyle name="Normal 4 2 2 8 4" xfId="10651" xr:uid="{34C7BB70-D33C-41BE-B3AA-3A8F37939551}"/>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E06B23C7-86CB-4A37-8495-C0BD4A6C8EB0}"/>
    <cellStyle name="Normal 4 2 2 9 2 3" xfId="13209" xr:uid="{314C498A-B7A1-4DE9-9D40-48AA2069EAC7}"/>
    <cellStyle name="Normal 4 2 2 9 3" xfId="5955" xr:uid="{00000000-0005-0000-0000-000029130000}"/>
    <cellStyle name="Normal 4 2 2 9 3 2" xfId="15281" xr:uid="{10C22AC1-8950-44ED-A2A5-40B21D8E3071}"/>
    <cellStyle name="Normal 4 2 2 9 4" xfId="11064" xr:uid="{095CADF3-FB9A-47A9-9119-0667F325261E}"/>
    <cellStyle name="Normal 4 2 3" xfId="354" xr:uid="{00000000-0005-0000-0000-00002A130000}"/>
    <cellStyle name="Normal 4 2 4" xfId="355" xr:uid="{00000000-0005-0000-0000-00002B130000}"/>
    <cellStyle name="Normal 4 2 4 10" xfId="4732" xr:uid="{00000000-0005-0000-0000-00002C130000}"/>
    <cellStyle name="Normal 4 2 4 10 2" xfId="14058" xr:uid="{6BD18CFC-6B7A-4F13-8A54-A2846CC6493F}"/>
    <cellStyle name="Normal 4 2 4 11" xfId="8775" xr:uid="{7AC259AB-9C32-4DC1-A787-2E2187A7C2D6}"/>
    <cellStyle name="Normal 4 2 4 11 2" xfId="18099" xr:uid="{3DC99874-B419-44CE-9CFF-4B8FDE3019BC}"/>
    <cellStyle name="Normal 4 2 4 12" xfId="9841" xr:uid="{14294529-0412-45DE-A86A-A4710B06F327}"/>
    <cellStyle name="Normal 4 2 4 2" xfId="356" xr:uid="{00000000-0005-0000-0000-00002D130000}"/>
    <cellStyle name="Normal 4 2 4 2 10" xfId="8820" xr:uid="{8B50D4F4-4786-467C-8322-69D665B73C2B}"/>
    <cellStyle name="Normal 4 2 4 2 10 2" xfId="18144" xr:uid="{9074CF94-4718-4533-AF06-DEE3C5C67331}"/>
    <cellStyle name="Normal 4 2 4 2 11" xfId="9842" xr:uid="{E1046A44-7B08-4AD8-BDDB-37BF1738411A}"/>
    <cellStyle name="Normal 4 2 4 2 2" xfId="357" xr:uid="{00000000-0005-0000-0000-00002E130000}"/>
    <cellStyle name="Normal 4 2 4 2 2 10" xfId="9843" xr:uid="{76C91557-1AF7-47EF-878F-76188D7732BD}"/>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BFE24FAE-3CBE-4EFE-97C9-FC80DE3A6589}"/>
    <cellStyle name="Normal 4 2 4 2 2 2 2 2 3" xfId="12402" xr:uid="{64498840-07A0-4490-8693-30E3B6230562}"/>
    <cellStyle name="Normal 4 2 4 2 2 2 2 3" xfId="5148" xr:uid="{00000000-0005-0000-0000-000033130000}"/>
    <cellStyle name="Normal 4 2 4 2 2 2 2 3 2" xfId="14474" xr:uid="{1FB9ADE2-A5A4-488C-BCB2-E174DAF7DBA5}"/>
    <cellStyle name="Normal 4 2 4 2 2 2 2 4" xfId="9555" xr:uid="{31AE7BD4-4F26-4658-9939-15FCE733560E}"/>
    <cellStyle name="Normal 4 2 4 2 2 2 2 4 2" xfId="18870" xr:uid="{FD3B4D20-B4E7-4606-97A6-BE28EB5D8AFD}"/>
    <cellStyle name="Normal 4 2 4 2 2 2 2 5" xfId="10257" xr:uid="{762FD4AF-3F80-4DED-BA58-75AF435D9053}"/>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FD708472-2A4C-4FA2-8AC9-FBDB2B44B24A}"/>
    <cellStyle name="Normal 4 2 4 2 2 2 3 2 3" xfId="12815" xr:uid="{A0F8E7BD-B2AD-46AE-8ED3-29EC9BBA4460}"/>
    <cellStyle name="Normal 4 2 4 2 2 2 3 3" xfId="5561" xr:uid="{00000000-0005-0000-0000-000037130000}"/>
    <cellStyle name="Normal 4 2 4 2 2 2 3 3 2" xfId="14887" xr:uid="{D4FBCBFB-8C79-4C8A-809B-4FE446B25928}"/>
    <cellStyle name="Normal 4 2 4 2 2 2 3 4" xfId="10670" xr:uid="{37ADE2C4-58A4-4788-84DB-7D690F8C82E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5BB26560-C1AF-4139-9F75-8588664993E0}"/>
    <cellStyle name="Normal 4 2 4 2 2 2 4 2 3" xfId="13228" xr:uid="{ED877CC7-AAE2-46C3-B098-22D51F6A7E2A}"/>
    <cellStyle name="Normal 4 2 4 2 2 2 4 3" xfId="5974" xr:uid="{00000000-0005-0000-0000-00003B130000}"/>
    <cellStyle name="Normal 4 2 4 2 2 2 4 3 2" xfId="15300" xr:uid="{B84815F4-1C4C-4CA8-9614-A9E9E6FA6FA6}"/>
    <cellStyle name="Normal 4 2 4 2 2 2 4 4" xfId="11083" xr:uid="{B7D24B12-A0DD-4A57-A735-DB917538365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E47853CC-5216-4620-B085-1CDB77DA8AE6}"/>
    <cellStyle name="Normal 4 2 4 2 2 2 5 2 3" xfId="13641" xr:uid="{2B2A521C-7FB1-4FDC-B516-A46F7DB832FC}"/>
    <cellStyle name="Normal 4 2 4 2 2 2 5 3" xfId="6387" xr:uid="{00000000-0005-0000-0000-00003F130000}"/>
    <cellStyle name="Normal 4 2 4 2 2 2 5 3 2" xfId="15713" xr:uid="{BAB39294-A03C-461D-ABA8-9A8A3B55F2DA}"/>
    <cellStyle name="Normal 4 2 4 2 2 2 5 4" xfId="11496" xr:uid="{64AAF350-687C-462D-99FB-83DB2FC7F0E0}"/>
    <cellStyle name="Normal 4 2 4 2 2 2 6" xfId="2517" xr:uid="{00000000-0005-0000-0000-000040130000}"/>
    <cellStyle name="Normal 4 2 4 2 2 2 6 2" xfId="6800" xr:uid="{00000000-0005-0000-0000-000041130000}"/>
    <cellStyle name="Normal 4 2 4 2 2 2 6 2 2" xfId="16126" xr:uid="{A9AA93DE-8133-46E8-87F1-8ADF9B2E5F34}"/>
    <cellStyle name="Normal 4 2 4 2 2 2 6 3" xfId="11909" xr:uid="{AEA43D06-D114-47FE-89DC-E03EAC4E04A2}"/>
    <cellStyle name="Normal 4 2 4 2 2 2 7" xfId="4735" xr:uid="{00000000-0005-0000-0000-000042130000}"/>
    <cellStyle name="Normal 4 2 4 2 2 2 7 2" xfId="14061" xr:uid="{3BCAB8C9-02F4-4D88-AF7C-6D50AC6CA6EF}"/>
    <cellStyle name="Normal 4 2 4 2 2 2 8" xfId="9130" xr:uid="{E4AAEB37-D6CE-4BD9-A166-BE52F754DAC4}"/>
    <cellStyle name="Normal 4 2 4 2 2 2 8 2" xfId="18454" xr:uid="{90D9C169-6426-4F1E-A068-2C11BCDD9382}"/>
    <cellStyle name="Normal 4 2 4 2 2 2 9" xfId="9844" xr:uid="{66D484DB-5AE1-41AF-A36F-6CBA359495A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EF8B0F36-C9D7-4E7C-AADF-2A548EB5740B}"/>
    <cellStyle name="Normal 4 2 4 2 2 3 2 3" xfId="12401" xr:uid="{87682075-593B-47F0-A57C-BFF335CD7EA9}"/>
    <cellStyle name="Normal 4 2 4 2 2 3 3" xfId="5147" xr:uid="{00000000-0005-0000-0000-000046130000}"/>
    <cellStyle name="Normal 4 2 4 2 2 3 3 2" xfId="14473" xr:uid="{287C175F-CF21-47C9-AB35-6C020097B0C3}"/>
    <cellStyle name="Normal 4 2 4 2 2 3 4" xfId="9348" xr:uid="{E9E52CF6-B3CF-482F-B496-A22B0452951D}"/>
    <cellStyle name="Normal 4 2 4 2 2 3 4 2" xfId="18663" xr:uid="{C4C73E62-B344-4580-9659-B34DA3771EDA}"/>
    <cellStyle name="Normal 4 2 4 2 2 3 5" xfId="10256" xr:uid="{A34F79E2-2CB2-45D3-8041-61254304113C}"/>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10A0C8D3-9ADB-4098-B2C6-527EBFDA96CB}"/>
    <cellStyle name="Normal 4 2 4 2 2 4 2 3" xfId="12814" xr:uid="{C7D9A464-8BBC-40F0-8DED-B978155386D1}"/>
    <cellStyle name="Normal 4 2 4 2 2 4 3" xfId="5560" xr:uid="{00000000-0005-0000-0000-00004A130000}"/>
    <cellStyle name="Normal 4 2 4 2 2 4 3 2" xfId="14886" xr:uid="{3ED9B591-1B8B-4DB8-B502-12EC167EE490}"/>
    <cellStyle name="Normal 4 2 4 2 2 4 4" xfId="10669" xr:uid="{60DC7C1E-5B3B-4774-AF61-61BAD484F117}"/>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F68F54F6-5214-46E3-B724-297E92E791A5}"/>
    <cellStyle name="Normal 4 2 4 2 2 5 2 3" xfId="13227" xr:uid="{6D53BF61-E170-40D3-933D-A97F069682F8}"/>
    <cellStyle name="Normal 4 2 4 2 2 5 3" xfId="5973" xr:uid="{00000000-0005-0000-0000-00004E130000}"/>
    <cellStyle name="Normal 4 2 4 2 2 5 3 2" xfId="15299" xr:uid="{4EFE40FA-AF40-4BCA-A6B5-B325930DF50E}"/>
    <cellStyle name="Normal 4 2 4 2 2 5 4" xfId="11082" xr:uid="{DC9FC232-86D1-423B-9786-FC68C63EEF78}"/>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E81AACC2-564B-403D-93D5-DCC0D0B1793D}"/>
    <cellStyle name="Normal 4 2 4 2 2 6 2 3" xfId="13640" xr:uid="{7FABB7C7-0A73-4B5F-987C-88954EF00034}"/>
    <cellStyle name="Normal 4 2 4 2 2 6 3" xfId="6386" xr:uid="{00000000-0005-0000-0000-000052130000}"/>
    <cellStyle name="Normal 4 2 4 2 2 6 3 2" xfId="15712" xr:uid="{B1E9C43F-DC37-475C-8C08-DBED08E2222C}"/>
    <cellStyle name="Normal 4 2 4 2 2 6 4" xfId="11495" xr:uid="{42845462-5EBE-45F9-981F-598659973353}"/>
    <cellStyle name="Normal 4 2 4 2 2 7" xfId="2516" xr:uid="{00000000-0005-0000-0000-000053130000}"/>
    <cellStyle name="Normal 4 2 4 2 2 7 2" xfId="6799" xr:uid="{00000000-0005-0000-0000-000054130000}"/>
    <cellStyle name="Normal 4 2 4 2 2 7 2 2" xfId="16125" xr:uid="{FD1CF700-0023-429D-AE44-580066D73136}"/>
    <cellStyle name="Normal 4 2 4 2 2 7 3" xfId="11908" xr:uid="{A41FBB3C-A6C0-41BE-89B2-F025D6846E36}"/>
    <cellStyle name="Normal 4 2 4 2 2 8" xfId="4734" xr:uid="{00000000-0005-0000-0000-000055130000}"/>
    <cellStyle name="Normal 4 2 4 2 2 8 2" xfId="14060" xr:uid="{2E8B0798-0C10-4F3A-BBEE-B1A959D252D7}"/>
    <cellStyle name="Normal 4 2 4 2 2 9" xfId="8923" xr:uid="{2BBE6936-33B8-4624-9F85-2EE83C62ACB2}"/>
    <cellStyle name="Normal 4 2 4 2 2 9 2" xfId="18247" xr:uid="{713FA936-27A9-4806-9229-ADD11DE8DA94}"/>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E806F6D4-81B6-4AF4-B881-F24E2BD8DA33}"/>
    <cellStyle name="Normal 4 2 4 2 3 2 2 3" xfId="12403" xr:uid="{C180D566-9FFF-4173-81DD-899D708DBF34}"/>
    <cellStyle name="Normal 4 2 4 2 3 2 3" xfId="5149" xr:uid="{00000000-0005-0000-0000-00005A130000}"/>
    <cellStyle name="Normal 4 2 4 2 3 2 3 2" xfId="14475" xr:uid="{C46D656A-48A2-41E4-BACD-F0026970DF6C}"/>
    <cellStyle name="Normal 4 2 4 2 3 2 4" xfId="9452" xr:uid="{58F46659-8F00-4705-8554-54AEBE9B8A77}"/>
    <cellStyle name="Normal 4 2 4 2 3 2 4 2" xfId="18767" xr:uid="{33C6252A-5440-43F7-B451-6A2DE9631D22}"/>
    <cellStyle name="Normal 4 2 4 2 3 2 5" xfId="10258" xr:uid="{F0BA483B-DE68-4FE8-9791-2D6BBDCD2F5A}"/>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C74AD0AC-A22D-4212-8E8E-85C858CB484D}"/>
    <cellStyle name="Normal 4 2 4 2 3 3 2 3" xfId="12816" xr:uid="{6569499C-5684-430A-A26B-8BA7D8D5B8C5}"/>
    <cellStyle name="Normal 4 2 4 2 3 3 3" xfId="5562" xr:uid="{00000000-0005-0000-0000-00005E130000}"/>
    <cellStyle name="Normal 4 2 4 2 3 3 3 2" xfId="14888" xr:uid="{6CD5714D-F7DE-47F0-84F9-F0FA5E1795A2}"/>
    <cellStyle name="Normal 4 2 4 2 3 3 4" xfId="10671" xr:uid="{6FB5216B-BFD9-4DCE-A7D1-26CF47EB6C23}"/>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41FA15EE-513C-4C23-9296-CC5C00989A4B}"/>
    <cellStyle name="Normal 4 2 4 2 3 4 2 3" xfId="13229" xr:uid="{339F1D40-46CE-4D83-8DE8-568595667A24}"/>
    <cellStyle name="Normal 4 2 4 2 3 4 3" xfId="5975" xr:uid="{00000000-0005-0000-0000-000062130000}"/>
    <cellStyle name="Normal 4 2 4 2 3 4 3 2" xfId="15301" xr:uid="{50997C65-738D-4778-B6DB-DBBD4EC1C399}"/>
    <cellStyle name="Normal 4 2 4 2 3 4 4" xfId="11084" xr:uid="{0ED30C5D-A4A9-4C94-BCEB-24FA8284160F}"/>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85549398-7A7A-4B75-B9A3-688BC53171C9}"/>
    <cellStyle name="Normal 4 2 4 2 3 5 2 3" xfId="13642" xr:uid="{85FB028B-EEA7-4FF2-9847-07299F3639AE}"/>
    <cellStyle name="Normal 4 2 4 2 3 5 3" xfId="6388" xr:uid="{00000000-0005-0000-0000-000066130000}"/>
    <cellStyle name="Normal 4 2 4 2 3 5 3 2" xfId="15714" xr:uid="{63F5E623-131C-4DFA-B1DF-0478033AADEC}"/>
    <cellStyle name="Normal 4 2 4 2 3 5 4" xfId="11497" xr:uid="{3C83EB7A-E74B-4948-88D9-09321C5C533B}"/>
    <cellStyle name="Normal 4 2 4 2 3 6" xfId="2518" xr:uid="{00000000-0005-0000-0000-000067130000}"/>
    <cellStyle name="Normal 4 2 4 2 3 6 2" xfId="6801" xr:uid="{00000000-0005-0000-0000-000068130000}"/>
    <cellStyle name="Normal 4 2 4 2 3 6 2 2" xfId="16127" xr:uid="{B406EE5D-EAEA-4F5C-BFA2-814FDBBA2A7A}"/>
    <cellStyle name="Normal 4 2 4 2 3 6 3" xfId="11910" xr:uid="{61B4738B-2A3F-41BE-82B2-2E89A5D3DC35}"/>
    <cellStyle name="Normal 4 2 4 2 3 7" xfId="4736" xr:uid="{00000000-0005-0000-0000-000069130000}"/>
    <cellStyle name="Normal 4 2 4 2 3 7 2" xfId="14062" xr:uid="{11AF26C5-1CE1-4050-9462-1568AEAD91B6}"/>
    <cellStyle name="Normal 4 2 4 2 3 8" xfId="9027" xr:uid="{DA430019-E492-48BB-ACD5-5BE853C50FBC}"/>
    <cellStyle name="Normal 4 2 4 2 3 8 2" xfId="18351" xr:uid="{2C6391AD-B259-4702-8995-7D378AF3709E}"/>
    <cellStyle name="Normal 4 2 4 2 3 9" xfId="9845" xr:uid="{88292C39-818F-4CB0-A835-6A7394738586}"/>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FA8732F5-98A6-45A5-BA2F-C0FFD1760B2B}"/>
    <cellStyle name="Normal 4 2 4 2 4 2 3" xfId="12400" xr:uid="{A2AAB443-32AA-4F07-824F-9048CC1B89B3}"/>
    <cellStyle name="Normal 4 2 4 2 4 3" xfId="5146" xr:uid="{00000000-0005-0000-0000-00006D130000}"/>
    <cellStyle name="Normal 4 2 4 2 4 3 2" xfId="14472" xr:uid="{1B631DE5-C6B7-48DC-932F-95D4C89CF57B}"/>
    <cellStyle name="Normal 4 2 4 2 4 4" xfId="9245" xr:uid="{A0383DD8-843E-4601-922A-5CDD979D0589}"/>
    <cellStyle name="Normal 4 2 4 2 4 4 2" xfId="18560" xr:uid="{57C4BCC2-6720-4360-AEC7-737911E483E3}"/>
    <cellStyle name="Normal 4 2 4 2 4 5" xfId="10255" xr:uid="{44D9F1F7-0F72-4FA5-8610-A323AF2B2A3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36742336-8CD1-4B91-8B39-D6214D9EF9B6}"/>
    <cellStyle name="Normal 4 2 4 2 5 2 3" xfId="12813" xr:uid="{8F63C279-16BE-4B51-971F-E4D8F5B08554}"/>
    <cellStyle name="Normal 4 2 4 2 5 3" xfId="5559" xr:uid="{00000000-0005-0000-0000-000071130000}"/>
    <cellStyle name="Normal 4 2 4 2 5 3 2" xfId="14885" xr:uid="{D19E1210-08A7-4223-B2ED-430006878F95}"/>
    <cellStyle name="Normal 4 2 4 2 5 4" xfId="10668" xr:uid="{181542CF-7F2E-4EFE-866A-828E0C89812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85140285-42E6-45D0-9D53-EA405F315902}"/>
    <cellStyle name="Normal 4 2 4 2 6 2 3" xfId="13226" xr:uid="{5F85684B-4D66-4A0D-AA90-B6E101129051}"/>
    <cellStyle name="Normal 4 2 4 2 6 3" xfId="5972" xr:uid="{00000000-0005-0000-0000-000075130000}"/>
    <cellStyle name="Normal 4 2 4 2 6 3 2" xfId="15298" xr:uid="{EB793D0B-5396-41B1-A3F1-E715C4D29103}"/>
    <cellStyle name="Normal 4 2 4 2 6 4" xfId="11081" xr:uid="{98F2D896-D1F6-49BE-9398-CCD74C43AD8A}"/>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E9A2752B-F62C-4E09-8C62-F758BF8CBD93}"/>
    <cellStyle name="Normal 4 2 4 2 7 2 3" xfId="13639" xr:uid="{D71E83B8-CD6B-444F-B4D9-225F6FE52176}"/>
    <cellStyle name="Normal 4 2 4 2 7 3" xfId="6385" xr:uid="{00000000-0005-0000-0000-000079130000}"/>
    <cellStyle name="Normal 4 2 4 2 7 3 2" xfId="15711" xr:uid="{76B2EB9F-3F1F-4D7B-AA77-FD7CEDEDB088}"/>
    <cellStyle name="Normal 4 2 4 2 7 4" xfId="11494" xr:uid="{C1F1CBC8-3E5B-4CD5-BA2A-FDCBA0B27C1B}"/>
    <cellStyle name="Normal 4 2 4 2 8" xfId="2515" xr:uid="{00000000-0005-0000-0000-00007A130000}"/>
    <cellStyle name="Normal 4 2 4 2 8 2" xfId="6798" xr:uid="{00000000-0005-0000-0000-00007B130000}"/>
    <cellStyle name="Normal 4 2 4 2 8 2 2" xfId="16124" xr:uid="{641497F5-F9B8-40D6-9C09-6665CF319C50}"/>
    <cellStyle name="Normal 4 2 4 2 8 3" xfId="11907" xr:uid="{CAA78C3D-7FAC-41FF-91C8-08C1BE4D78DB}"/>
    <cellStyle name="Normal 4 2 4 2 9" xfId="4733" xr:uid="{00000000-0005-0000-0000-00007C130000}"/>
    <cellStyle name="Normal 4 2 4 2 9 2" xfId="14059" xr:uid="{62EC90E7-C241-482C-A413-79A17205A8C4}"/>
    <cellStyle name="Normal 4 2 4 3" xfId="360" xr:uid="{00000000-0005-0000-0000-00007D130000}"/>
    <cellStyle name="Normal 4 2 4 3 10" xfId="9846" xr:uid="{930C957C-97F4-4661-A329-81A5A0D4C1E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92333AB0-DACD-4006-B9FD-F7B0FBB42886}"/>
    <cellStyle name="Normal 4 2 4 3 2 2 2 3" xfId="12405" xr:uid="{21AB0000-F828-40A4-B5EC-2158902F5CF2}"/>
    <cellStyle name="Normal 4 2 4 3 2 2 3" xfId="5151" xr:uid="{00000000-0005-0000-0000-000082130000}"/>
    <cellStyle name="Normal 4 2 4 3 2 2 3 2" xfId="14477" xr:uid="{BFB94735-74E7-4CE5-B057-9438D340F186}"/>
    <cellStyle name="Normal 4 2 4 3 2 2 4" xfId="9510" xr:uid="{AA534F18-B7F5-44D9-AE7D-03E6DE45E4F9}"/>
    <cellStyle name="Normal 4 2 4 3 2 2 4 2" xfId="18825" xr:uid="{CD602D6A-0F9D-42DA-8D8E-B06820632058}"/>
    <cellStyle name="Normal 4 2 4 3 2 2 5" xfId="10260" xr:uid="{F28AF7E7-EC36-4736-BF58-22B250DD68AE}"/>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81D28B7F-C169-44BA-BA0C-5B7B2D9E83A4}"/>
    <cellStyle name="Normal 4 2 4 3 2 3 2 3" xfId="12818" xr:uid="{A137EC57-2F51-441A-87A3-A6C0682DC731}"/>
    <cellStyle name="Normal 4 2 4 3 2 3 3" xfId="5564" xr:uid="{00000000-0005-0000-0000-000086130000}"/>
    <cellStyle name="Normal 4 2 4 3 2 3 3 2" xfId="14890" xr:uid="{1967B487-C490-4068-BDC7-4C601251560D}"/>
    <cellStyle name="Normal 4 2 4 3 2 3 4" xfId="10673" xr:uid="{0FA398F3-FAA1-4867-9D88-8515BDE9070E}"/>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389E7A9D-923E-435A-AC4B-07C3F38CA8A3}"/>
    <cellStyle name="Normal 4 2 4 3 2 4 2 3" xfId="13231" xr:uid="{96B5342B-A2DA-4366-B864-9AD5A687D817}"/>
    <cellStyle name="Normal 4 2 4 3 2 4 3" xfId="5977" xr:uid="{00000000-0005-0000-0000-00008A130000}"/>
    <cellStyle name="Normal 4 2 4 3 2 4 3 2" xfId="15303" xr:uid="{CDC6AB5E-F701-4048-8013-48EB9417891B}"/>
    <cellStyle name="Normal 4 2 4 3 2 4 4" xfId="11086" xr:uid="{80207C4B-9EDE-4B24-BCE8-FE3BCB1081AB}"/>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7327C245-D2CF-40F7-80A1-980F1F617C59}"/>
    <cellStyle name="Normal 4 2 4 3 2 5 2 3" xfId="13644" xr:uid="{97CD37C3-D6AD-4BA5-BE7B-2E89F76D20AB}"/>
    <cellStyle name="Normal 4 2 4 3 2 5 3" xfId="6390" xr:uid="{00000000-0005-0000-0000-00008E130000}"/>
    <cellStyle name="Normal 4 2 4 3 2 5 3 2" xfId="15716" xr:uid="{03321E6C-BC68-4F9F-A910-51C3939A3B61}"/>
    <cellStyle name="Normal 4 2 4 3 2 5 4" xfId="11499" xr:uid="{009DFF3A-7EC5-4A28-B2B2-CA30EC261F5E}"/>
    <cellStyle name="Normal 4 2 4 3 2 6" xfId="2520" xr:uid="{00000000-0005-0000-0000-00008F130000}"/>
    <cellStyle name="Normal 4 2 4 3 2 6 2" xfId="6803" xr:uid="{00000000-0005-0000-0000-000090130000}"/>
    <cellStyle name="Normal 4 2 4 3 2 6 2 2" xfId="16129" xr:uid="{66F07585-A282-49F2-B2D8-33CE807C9FCA}"/>
    <cellStyle name="Normal 4 2 4 3 2 6 3" xfId="11912" xr:uid="{B0B9FF82-B345-405F-AD38-BA3E17C0C667}"/>
    <cellStyle name="Normal 4 2 4 3 2 7" xfId="4738" xr:uid="{00000000-0005-0000-0000-000091130000}"/>
    <cellStyle name="Normal 4 2 4 3 2 7 2" xfId="14064" xr:uid="{2677DE44-6336-4719-8D8A-C93DAECFD8E4}"/>
    <cellStyle name="Normal 4 2 4 3 2 8" xfId="9085" xr:uid="{0181E53C-86DC-4588-8447-D559FCF01541}"/>
    <cellStyle name="Normal 4 2 4 3 2 8 2" xfId="18409" xr:uid="{7A14E5B6-AB37-40D0-9389-986F0B9F17FB}"/>
    <cellStyle name="Normal 4 2 4 3 2 9" xfId="9847" xr:uid="{579B2695-CCE4-459E-B5C7-5EF671C13D33}"/>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63239E22-B560-467A-81A8-03F8E564CD59}"/>
    <cellStyle name="Normal 4 2 4 3 3 2 3" xfId="12404" xr:uid="{DC9DC200-B388-4339-AD1C-EFFB3DEC3380}"/>
    <cellStyle name="Normal 4 2 4 3 3 3" xfId="5150" xr:uid="{00000000-0005-0000-0000-000095130000}"/>
    <cellStyle name="Normal 4 2 4 3 3 3 2" xfId="14476" xr:uid="{026336A7-B142-4650-B9E8-DDF0587417E5}"/>
    <cellStyle name="Normal 4 2 4 3 3 4" xfId="9303" xr:uid="{51CE977A-E9B9-47DD-B6CE-3ECF34A578F1}"/>
    <cellStyle name="Normal 4 2 4 3 3 4 2" xfId="18618" xr:uid="{2A9106B6-DFE6-4EA6-A518-0749A15DBEF8}"/>
    <cellStyle name="Normal 4 2 4 3 3 5" xfId="10259" xr:uid="{15CA2EFB-E373-4082-A0BC-A410FE724830}"/>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A4EC3DA6-572C-40E4-A246-A79F7098B2EB}"/>
    <cellStyle name="Normal 4 2 4 3 4 2 3" xfId="12817" xr:uid="{F13E86B8-E324-4E19-B47E-F3FFEBAFF53D}"/>
    <cellStyle name="Normal 4 2 4 3 4 3" xfId="5563" xr:uid="{00000000-0005-0000-0000-000099130000}"/>
    <cellStyle name="Normal 4 2 4 3 4 3 2" xfId="14889" xr:uid="{10945F06-A719-4B1D-BF06-78BB202F751D}"/>
    <cellStyle name="Normal 4 2 4 3 4 4" xfId="10672" xr:uid="{E81DA703-FF82-4A2D-B08F-D8CFED093619}"/>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53A2BB4B-D648-4E29-9B19-8B4F56FBA1CD}"/>
    <cellStyle name="Normal 4 2 4 3 5 2 3" xfId="13230" xr:uid="{668D2B17-BD68-4B0E-8261-9623454CC745}"/>
    <cellStyle name="Normal 4 2 4 3 5 3" xfId="5976" xr:uid="{00000000-0005-0000-0000-00009D130000}"/>
    <cellStyle name="Normal 4 2 4 3 5 3 2" xfId="15302" xr:uid="{8D546633-3511-4B36-9E7A-180446CB6517}"/>
    <cellStyle name="Normal 4 2 4 3 5 4" xfId="11085" xr:uid="{12917A36-6C17-4664-9632-72C4AB22A81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68F59F3D-8DB8-42A2-AFF5-EF964F104805}"/>
    <cellStyle name="Normal 4 2 4 3 6 2 3" xfId="13643" xr:uid="{12466D48-DC5F-460C-AAE5-0505B2B5FF73}"/>
    <cellStyle name="Normal 4 2 4 3 6 3" xfId="6389" xr:uid="{00000000-0005-0000-0000-0000A1130000}"/>
    <cellStyle name="Normal 4 2 4 3 6 3 2" xfId="15715" xr:uid="{B770ED6F-5428-40FD-8508-CBFD0A825F4E}"/>
    <cellStyle name="Normal 4 2 4 3 6 4" xfId="11498" xr:uid="{B1570DAA-86C2-4EBC-ABB6-B2DDABDA9152}"/>
    <cellStyle name="Normal 4 2 4 3 7" xfId="2519" xr:uid="{00000000-0005-0000-0000-0000A2130000}"/>
    <cellStyle name="Normal 4 2 4 3 7 2" xfId="6802" xr:uid="{00000000-0005-0000-0000-0000A3130000}"/>
    <cellStyle name="Normal 4 2 4 3 7 2 2" xfId="16128" xr:uid="{A0C7DD34-0CD0-43B3-AE58-C119E3A4D2F6}"/>
    <cellStyle name="Normal 4 2 4 3 7 3" xfId="11911" xr:uid="{D4A5441D-35D8-4852-89C4-A5A2F2FFC749}"/>
    <cellStyle name="Normal 4 2 4 3 8" xfId="4737" xr:uid="{00000000-0005-0000-0000-0000A4130000}"/>
    <cellStyle name="Normal 4 2 4 3 8 2" xfId="14063" xr:uid="{A1F1C0B5-7B7C-4A38-BBDD-D9D48CEF7554}"/>
    <cellStyle name="Normal 4 2 4 3 9" xfId="8878" xr:uid="{B73EE68A-BBFC-4E7A-B773-E14FCCFC8837}"/>
    <cellStyle name="Normal 4 2 4 3 9 2" xfId="18202" xr:uid="{002B9DA7-9196-4F86-8CAD-5ADD2DFD32B6}"/>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0F22C232-33A2-4F68-8B84-BA0D5720E245}"/>
    <cellStyle name="Normal 4 2 4 4 2 2 3" xfId="12406" xr:uid="{8E35C418-EE1E-472A-8E5B-3B39BB2CEA65}"/>
    <cellStyle name="Normal 4 2 4 4 2 3" xfId="5152" xr:uid="{00000000-0005-0000-0000-0000A9130000}"/>
    <cellStyle name="Normal 4 2 4 4 2 3 2" xfId="14478" xr:uid="{EE59AAA9-2324-4DA4-8989-538F66CAA1EC}"/>
    <cellStyle name="Normal 4 2 4 4 2 4" xfId="9407" xr:uid="{5D8D6A7A-388E-41EC-80E9-28307FA015D6}"/>
    <cellStyle name="Normal 4 2 4 4 2 4 2" xfId="18722" xr:uid="{E937962E-62D1-4BAF-B43E-A1E6A0FA6E9A}"/>
    <cellStyle name="Normal 4 2 4 4 2 5" xfId="10261" xr:uid="{033DC608-5CBF-4921-A49C-5AD84AA54B7A}"/>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F525EDDA-EAB7-4A3B-BB9B-A8E501E9FBDC}"/>
    <cellStyle name="Normal 4 2 4 4 3 2 3" xfId="12819" xr:uid="{82957F37-5683-4A3A-9E2D-DE9398CA572B}"/>
    <cellStyle name="Normal 4 2 4 4 3 3" xfId="5565" xr:uid="{00000000-0005-0000-0000-0000AD130000}"/>
    <cellStyle name="Normal 4 2 4 4 3 3 2" xfId="14891" xr:uid="{5CFDD063-9DD6-4781-A9D7-8C525651F7D9}"/>
    <cellStyle name="Normal 4 2 4 4 3 4" xfId="10674" xr:uid="{CCE1B2AB-FB70-467A-9033-2D4784D11AC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8E61AB42-3B70-424E-8A77-76A366F04B4F}"/>
    <cellStyle name="Normal 4 2 4 4 4 2 3" xfId="13232" xr:uid="{8F6347C7-5A71-4FC9-A0AA-4395F3AD6D4E}"/>
    <cellStyle name="Normal 4 2 4 4 4 3" xfId="5978" xr:uid="{00000000-0005-0000-0000-0000B1130000}"/>
    <cellStyle name="Normal 4 2 4 4 4 3 2" xfId="15304" xr:uid="{E4F085AA-9CE8-4BEA-925C-5DA70B83B263}"/>
    <cellStyle name="Normal 4 2 4 4 4 4" xfId="11087" xr:uid="{891FC464-948F-4787-B137-DAA3E9173F71}"/>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D93D926B-8470-457C-8541-EB49D82FC5EC}"/>
    <cellStyle name="Normal 4 2 4 4 5 2 3" xfId="13645" xr:uid="{3559783D-5C2B-47E0-B04C-01526EC06F58}"/>
    <cellStyle name="Normal 4 2 4 4 5 3" xfId="6391" xr:uid="{00000000-0005-0000-0000-0000B5130000}"/>
    <cellStyle name="Normal 4 2 4 4 5 3 2" xfId="15717" xr:uid="{227C5B3A-C5B5-4D2D-B4CE-96638703841B}"/>
    <cellStyle name="Normal 4 2 4 4 5 4" xfId="11500" xr:uid="{B75844E2-F979-4905-866E-DB97C3ACE98A}"/>
    <cellStyle name="Normal 4 2 4 4 6" xfId="2521" xr:uid="{00000000-0005-0000-0000-0000B6130000}"/>
    <cellStyle name="Normal 4 2 4 4 6 2" xfId="6804" xr:uid="{00000000-0005-0000-0000-0000B7130000}"/>
    <cellStyle name="Normal 4 2 4 4 6 2 2" xfId="16130" xr:uid="{F8E1234D-7054-4962-A762-CF5F785C316B}"/>
    <cellStyle name="Normal 4 2 4 4 6 3" xfId="11913" xr:uid="{C12FDDAF-AAFF-4654-B7C8-CA4EBAADA78A}"/>
    <cellStyle name="Normal 4 2 4 4 7" xfId="4739" xr:uid="{00000000-0005-0000-0000-0000B8130000}"/>
    <cellStyle name="Normal 4 2 4 4 7 2" xfId="14065" xr:uid="{3D86BFAB-410D-4CF6-9EB4-D398324368F7}"/>
    <cellStyle name="Normal 4 2 4 4 8" xfId="8982" xr:uid="{4C273C9B-E12E-4EF2-812F-666600229207}"/>
    <cellStyle name="Normal 4 2 4 4 8 2" xfId="18306" xr:uid="{A1E6B72D-A288-4D0B-B01A-DC19F75C6765}"/>
    <cellStyle name="Normal 4 2 4 4 9" xfId="9848" xr:uid="{DFB65D2B-DA99-44FF-9CE2-29DE12B9BD3C}"/>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88915E69-03C8-488D-B457-BCA9637E45CB}"/>
    <cellStyle name="Normal 4 2 4 5 2 3" xfId="12399" xr:uid="{85E5E02C-B5C3-4869-9EFF-B9A012A49074}"/>
    <cellStyle name="Normal 4 2 4 5 3" xfId="5145" xr:uid="{00000000-0005-0000-0000-0000BC130000}"/>
    <cellStyle name="Normal 4 2 4 5 3 2" xfId="14471" xr:uid="{4D8BE831-5D1A-48F5-9B66-E4177D38436E}"/>
    <cellStyle name="Normal 4 2 4 5 4" xfId="9199" xr:uid="{1A9A2DC3-2FEA-4A30-A92C-84708E9B2741}"/>
    <cellStyle name="Normal 4 2 4 5 4 2" xfId="18515" xr:uid="{E3F3EFCA-93AC-4DD9-8FA8-A7733E451388}"/>
    <cellStyle name="Normal 4 2 4 5 5" xfId="10254" xr:uid="{AB191330-7E11-4B92-BB98-AAD88961B85B}"/>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73BEA106-A0B4-4102-937A-B525F1270A78}"/>
    <cellStyle name="Normal 4 2 4 6 2 3" xfId="12812" xr:uid="{30013CF0-ED2A-4C77-A661-C904E752CD74}"/>
    <cellStyle name="Normal 4 2 4 6 3" xfId="5558" xr:uid="{00000000-0005-0000-0000-0000C0130000}"/>
    <cellStyle name="Normal 4 2 4 6 3 2" xfId="14884" xr:uid="{F17C48A8-0545-4444-BA01-B60FD507E130}"/>
    <cellStyle name="Normal 4 2 4 6 4" xfId="10667" xr:uid="{C620A068-61C2-4D0E-92CF-7E2B5ADFF9C1}"/>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2383369A-A9BA-4EF6-9999-D7ADFC6930CF}"/>
    <cellStyle name="Normal 4 2 4 7 2 3" xfId="13225" xr:uid="{F140A5BF-8B36-4A17-A142-364824D2A339}"/>
    <cellStyle name="Normal 4 2 4 7 3" xfId="5971" xr:uid="{00000000-0005-0000-0000-0000C4130000}"/>
    <cellStyle name="Normal 4 2 4 7 3 2" xfId="15297" xr:uid="{DA6B917D-959B-41A8-9065-23FDD1173E45}"/>
    <cellStyle name="Normal 4 2 4 7 4" xfId="11080" xr:uid="{4A0A3347-318A-402D-89AE-16220E500DA6}"/>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85B4482B-C6B7-470C-91B8-77911409545C}"/>
    <cellStyle name="Normal 4 2 4 8 2 3" xfId="13638" xr:uid="{B29985A8-7A2B-41C0-BDB2-927BE5A20E2E}"/>
    <cellStyle name="Normal 4 2 4 8 3" xfId="6384" xr:uid="{00000000-0005-0000-0000-0000C8130000}"/>
    <cellStyle name="Normal 4 2 4 8 3 2" xfId="15710" xr:uid="{A954A8D8-C2F0-4ED8-A291-18AD9B2824E8}"/>
    <cellStyle name="Normal 4 2 4 8 4" xfId="11493" xr:uid="{5AC52D68-42B4-4437-8754-7359033C130E}"/>
    <cellStyle name="Normal 4 2 4 9" xfId="2514" xr:uid="{00000000-0005-0000-0000-0000C9130000}"/>
    <cellStyle name="Normal 4 2 4 9 2" xfId="6797" xr:uid="{00000000-0005-0000-0000-0000CA130000}"/>
    <cellStyle name="Normal 4 2 4 9 2 2" xfId="16123" xr:uid="{1077F6F3-E1F4-4ECD-95FD-1F3E98FF3E1B}"/>
    <cellStyle name="Normal 4 2 4 9 3" xfId="11906" xr:uid="{E5CB6579-4082-4654-B1C9-618B8F5834A8}"/>
    <cellStyle name="Normal 4 2 5" xfId="363" xr:uid="{00000000-0005-0000-0000-0000CB130000}"/>
    <cellStyle name="Normal 4 2 5 10" xfId="9849" xr:uid="{12117146-9779-4C3C-AFCD-916D9AA66F3A}"/>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518B6D05-2692-4850-90FB-2E718011CE7C}"/>
    <cellStyle name="Normal 4 2 5 2 2 2 3" xfId="12408" xr:uid="{87A02388-0889-4256-8B1E-00DB7AEA8139}"/>
    <cellStyle name="Normal 4 2 5 2 2 3" xfId="5154" xr:uid="{00000000-0005-0000-0000-0000D0130000}"/>
    <cellStyle name="Normal 4 2 5 2 2 3 2" xfId="14480" xr:uid="{12E09BC6-EA70-4490-B1B1-A6FE00CF24F5}"/>
    <cellStyle name="Normal 4 2 5 2 2 4" xfId="9478" xr:uid="{9FEAEEC2-067D-4244-BB0F-0858128140EB}"/>
    <cellStyle name="Normal 4 2 5 2 2 4 2" xfId="18793" xr:uid="{55D00389-188A-4CC1-A54F-7B1014E57A72}"/>
    <cellStyle name="Normal 4 2 5 2 2 5" xfId="10263" xr:uid="{A817077B-1D2F-447D-ADD8-63B5CF1F1980}"/>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688AF83F-41E2-4741-8EFA-9105740466D7}"/>
    <cellStyle name="Normal 4 2 5 2 3 2 3" xfId="12821" xr:uid="{9BCDCFFC-5821-4708-94A6-FBC05E6C71FE}"/>
    <cellStyle name="Normal 4 2 5 2 3 3" xfId="5567" xr:uid="{00000000-0005-0000-0000-0000D4130000}"/>
    <cellStyle name="Normal 4 2 5 2 3 3 2" xfId="14893" xr:uid="{F264DAB7-4CEC-4279-93C5-BC0006BB5301}"/>
    <cellStyle name="Normal 4 2 5 2 3 4" xfId="10676" xr:uid="{8C80FA92-7915-4FC8-B670-D35032FE592C}"/>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13E3A562-3D8F-4FA8-9C4E-97177CF62E2E}"/>
    <cellStyle name="Normal 4 2 5 2 4 2 3" xfId="13234" xr:uid="{74F2139A-0156-4891-A560-D2645FE1A87F}"/>
    <cellStyle name="Normal 4 2 5 2 4 3" xfId="5980" xr:uid="{00000000-0005-0000-0000-0000D8130000}"/>
    <cellStyle name="Normal 4 2 5 2 4 3 2" xfId="15306" xr:uid="{2CF8BC4B-2020-4F1A-B696-B9B0B5EF9C06}"/>
    <cellStyle name="Normal 4 2 5 2 4 4" xfId="11089" xr:uid="{C4D32A28-434D-4454-87DE-AF067B2493D8}"/>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545C0094-04D4-4C03-99A1-530645793964}"/>
    <cellStyle name="Normal 4 2 5 2 5 2 3" xfId="13647" xr:uid="{E37A3093-7928-4A1D-9365-8128C6734C48}"/>
    <cellStyle name="Normal 4 2 5 2 5 3" xfId="6393" xr:uid="{00000000-0005-0000-0000-0000DC130000}"/>
    <cellStyle name="Normal 4 2 5 2 5 3 2" xfId="15719" xr:uid="{4AB2F819-3CAE-490F-B3A6-41630A9AFCF4}"/>
    <cellStyle name="Normal 4 2 5 2 5 4" xfId="11502" xr:uid="{0855620D-1D7A-4F7E-903F-E29DD2299DED}"/>
    <cellStyle name="Normal 4 2 5 2 6" xfId="2523" xr:uid="{00000000-0005-0000-0000-0000DD130000}"/>
    <cellStyle name="Normal 4 2 5 2 6 2" xfId="6806" xr:uid="{00000000-0005-0000-0000-0000DE130000}"/>
    <cellStyle name="Normal 4 2 5 2 6 2 2" xfId="16132" xr:uid="{D8BCFA02-EF49-4B29-A3A3-C856D37942C7}"/>
    <cellStyle name="Normal 4 2 5 2 6 3" xfId="11915" xr:uid="{1BB532F8-8EF3-4FED-A679-3E9D70C7CFDB}"/>
    <cellStyle name="Normal 4 2 5 2 7" xfId="4741" xr:uid="{00000000-0005-0000-0000-0000DF130000}"/>
    <cellStyle name="Normal 4 2 5 2 7 2" xfId="14067" xr:uid="{D7AEA384-10BA-447C-A522-0ABC052BB0D6}"/>
    <cellStyle name="Normal 4 2 5 2 8" xfId="9053" xr:uid="{0AE18A98-D9E6-47B9-86B0-DDAD3BC77B48}"/>
    <cellStyle name="Normal 4 2 5 2 8 2" xfId="18377" xr:uid="{6B5CD259-A277-438B-BBFB-59815677EE4C}"/>
    <cellStyle name="Normal 4 2 5 2 9" xfId="9850" xr:uid="{BC621DE0-6284-44A9-8AD5-5629B8EF628E}"/>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68AE8D02-1339-4E86-8A90-DD1EEB0466BD}"/>
    <cellStyle name="Normal 4 2 5 3 2 3" xfId="12407" xr:uid="{0197AB43-C28A-4541-9785-40D965EF82AD}"/>
    <cellStyle name="Normal 4 2 5 3 3" xfId="5153" xr:uid="{00000000-0005-0000-0000-0000E3130000}"/>
    <cellStyle name="Normal 4 2 5 3 3 2" xfId="14479" xr:uid="{1A2F7B89-94BA-4932-A581-ECCDC4BED35B}"/>
    <cellStyle name="Normal 4 2 5 3 4" xfId="9271" xr:uid="{41AE7BB1-E3C7-48BD-B24F-55AE39E68BB6}"/>
    <cellStyle name="Normal 4 2 5 3 4 2" xfId="18586" xr:uid="{4047DD0D-215F-4908-ABAD-493376B68E64}"/>
    <cellStyle name="Normal 4 2 5 3 5" xfId="10262" xr:uid="{0070219D-7B1A-4845-BD57-3BE3BE7E76FE}"/>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53F6F7A0-A7F0-4862-A4EC-39EB8253F40B}"/>
    <cellStyle name="Normal 4 2 5 4 2 3" xfId="12820" xr:uid="{B67CF620-18AC-4BAE-87B8-AA0615992717}"/>
    <cellStyle name="Normal 4 2 5 4 3" xfId="5566" xr:uid="{00000000-0005-0000-0000-0000E7130000}"/>
    <cellStyle name="Normal 4 2 5 4 3 2" xfId="14892" xr:uid="{09351FF4-B7F2-44B8-AC25-AC9E38433FDD}"/>
    <cellStyle name="Normal 4 2 5 4 4" xfId="10675" xr:uid="{33683CDF-EFFE-4A43-B10B-E804584E6E7A}"/>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DA806F7F-2E8D-4FEB-844D-14A39BCE2A4B}"/>
    <cellStyle name="Normal 4 2 5 5 2 3" xfId="13233" xr:uid="{49B7025C-B71A-4045-A011-A3DF1F0EA519}"/>
    <cellStyle name="Normal 4 2 5 5 3" xfId="5979" xr:uid="{00000000-0005-0000-0000-0000EB130000}"/>
    <cellStyle name="Normal 4 2 5 5 3 2" xfId="15305" xr:uid="{F964D0E6-4EA2-4FCA-9127-847134B09F6A}"/>
    <cellStyle name="Normal 4 2 5 5 4" xfId="11088" xr:uid="{1225349C-E0E2-45F9-9D0F-F3F2E1EBE174}"/>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B384AE8B-6977-4A55-8E1C-D09354CA6677}"/>
    <cellStyle name="Normal 4 2 5 6 2 3" xfId="13646" xr:uid="{64449FF4-7D26-43A6-A7C5-9819DF1861F0}"/>
    <cellStyle name="Normal 4 2 5 6 3" xfId="6392" xr:uid="{00000000-0005-0000-0000-0000EF130000}"/>
    <cellStyle name="Normal 4 2 5 6 3 2" xfId="15718" xr:uid="{98E45B55-3906-4462-B40E-1744A29EF4B9}"/>
    <cellStyle name="Normal 4 2 5 6 4" xfId="11501" xr:uid="{F4A0888E-60EF-45DF-B2DA-5E39D013D624}"/>
    <cellStyle name="Normal 4 2 5 7" xfId="2522" xr:uid="{00000000-0005-0000-0000-0000F0130000}"/>
    <cellStyle name="Normal 4 2 5 7 2" xfId="6805" xr:uid="{00000000-0005-0000-0000-0000F1130000}"/>
    <cellStyle name="Normal 4 2 5 7 2 2" xfId="16131" xr:uid="{DCF1478E-9AAC-4329-95F2-78A404A992D5}"/>
    <cellStyle name="Normal 4 2 5 7 3" xfId="11914" xr:uid="{3768AE32-E3E7-4909-AF2A-1F6B3B6CF3FB}"/>
    <cellStyle name="Normal 4 2 5 8" xfId="4740" xr:uid="{00000000-0005-0000-0000-0000F2130000}"/>
    <cellStyle name="Normal 4 2 5 8 2" xfId="14066" xr:uid="{A0071013-E167-4E30-8E4C-610AB293A6C5}"/>
    <cellStyle name="Normal 4 2 5 9" xfId="8846" xr:uid="{C69C7E2D-02E8-4C87-9C63-A39D0E37A062}"/>
    <cellStyle name="Normal 4 2 5 9 2" xfId="18170" xr:uid="{27FE63CC-A35D-40FB-976F-BD81BA9C93B5}"/>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4421B56F-B4EB-4748-8FFA-286B2DACD8F6}"/>
    <cellStyle name="Normal 4 2 6 2 2 3" xfId="12409" xr:uid="{834B9A56-4277-4F13-824E-3B8FDB8A5C21}"/>
    <cellStyle name="Normal 4 2 6 2 3" xfId="5155" xr:uid="{00000000-0005-0000-0000-0000F7130000}"/>
    <cellStyle name="Normal 4 2 6 2 3 2" xfId="14481" xr:uid="{25597847-D876-4BFA-80B3-BBC1452ECA8D}"/>
    <cellStyle name="Normal 4 2 6 2 4" xfId="9387" xr:uid="{933EA8C7-37F7-4AF2-922A-47A5CB1A47BC}"/>
    <cellStyle name="Normal 4 2 6 2 4 2" xfId="18702" xr:uid="{DD14DF67-80CD-4BF5-9F6B-301226DC1076}"/>
    <cellStyle name="Normal 4 2 6 2 5" xfId="10264" xr:uid="{A4AA9608-8B02-4868-ACF9-33F93AAE7A1E}"/>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7E1A4554-7CCA-4413-B97B-D7C2258ADFC0}"/>
    <cellStyle name="Normal 4 2 6 3 2 3" xfId="12822" xr:uid="{57504538-4CFD-4F24-B20B-20F8CD1E1502}"/>
    <cellStyle name="Normal 4 2 6 3 3" xfId="5568" xr:uid="{00000000-0005-0000-0000-0000FB130000}"/>
    <cellStyle name="Normal 4 2 6 3 3 2" xfId="14894" xr:uid="{3153B3DB-E6BC-47FA-91E5-03295972FC05}"/>
    <cellStyle name="Normal 4 2 6 3 4" xfId="10677" xr:uid="{5FB228F5-3C34-4F0A-8D54-E606F374BE49}"/>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E97406DD-7A9A-4BBD-A7E0-2AB659423DFB}"/>
    <cellStyle name="Normal 4 2 6 4 2 3" xfId="13235" xr:uid="{2126D4AE-B320-4C68-93BD-8B941DA7ECD0}"/>
    <cellStyle name="Normal 4 2 6 4 3" xfId="5981" xr:uid="{00000000-0005-0000-0000-0000FF130000}"/>
    <cellStyle name="Normal 4 2 6 4 3 2" xfId="15307" xr:uid="{A15ACDB7-B40A-458C-9C89-9ED1B26DA090}"/>
    <cellStyle name="Normal 4 2 6 4 4" xfId="11090" xr:uid="{134F541F-DF3C-4DD2-AA75-175316AA2059}"/>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AC6B783E-719C-4EC6-8550-255A661DB115}"/>
    <cellStyle name="Normal 4 2 6 5 2 3" xfId="13648" xr:uid="{A7F85824-3E88-48F8-9762-C4A2FD3E31B5}"/>
    <cellStyle name="Normal 4 2 6 5 3" xfId="6394" xr:uid="{00000000-0005-0000-0000-000003140000}"/>
    <cellStyle name="Normal 4 2 6 5 3 2" xfId="15720" xr:uid="{E8A9DF97-7FCC-4D1B-9393-434A75CBC157}"/>
    <cellStyle name="Normal 4 2 6 5 4" xfId="11503" xr:uid="{D4E08260-0D8C-4DA5-BD4C-A30A59DFF217}"/>
    <cellStyle name="Normal 4 2 6 6" xfId="2524" xr:uid="{00000000-0005-0000-0000-000004140000}"/>
    <cellStyle name="Normal 4 2 6 6 2" xfId="6807" xr:uid="{00000000-0005-0000-0000-000005140000}"/>
    <cellStyle name="Normal 4 2 6 6 2 2" xfId="16133" xr:uid="{F3F6DFC9-8030-4239-81F7-0B3ED28CE199}"/>
    <cellStyle name="Normal 4 2 6 6 3" xfId="11916" xr:uid="{2AC610A4-9FFC-48F0-8A29-62DB217FE6ED}"/>
    <cellStyle name="Normal 4 2 6 7" xfId="4742" xr:uid="{00000000-0005-0000-0000-000006140000}"/>
    <cellStyle name="Normal 4 2 6 7 2" xfId="14068" xr:uid="{AF96B7D9-6664-42AB-9CB4-8B7A1D7E86D0}"/>
    <cellStyle name="Normal 4 2 6 8" xfId="8962" xr:uid="{1A1596D6-3914-4465-A638-E540359059D2}"/>
    <cellStyle name="Normal 4 2 6 8 2" xfId="18286" xr:uid="{DAF089D7-D076-4DCA-A3CD-193750B76288}"/>
    <cellStyle name="Normal 4 2 6 9" xfId="9851" xr:uid="{C43002E5-7B78-4DFA-B237-EF9A9ACE5920}"/>
    <cellStyle name="Normal 4 2 7" xfId="9165" xr:uid="{6363F967-7399-442D-B2CE-00085FF7F1E8}"/>
    <cellStyle name="Normal 4 2 7 2" xfId="18483" xr:uid="{5CBFB996-A128-4224-B94C-0874C270F4F7}"/>
    <cellStyle name="Normal 4 2 8" xfId="8743" xr:uid="{E2B8331F-47F9-4829-99C7-E05840A106B9}"/>
    <cellStyle name="Normal 4 2 8 2" xfId="18067" xr:uid="{AFA89BBF-1279-427A-85E1-573F6F476D2F}"/>
    <cellStyle name="Normal 4 3" xfId="366" xr:uid="{00000000-0005-0000-0000-000007140000}"/>
    <cellStyle name="Normal 4 3 10" xfId="9852" xr:uid="{8E36BD08-79E3-406D-A0F0-197D4A2A11C4}"/>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F8A5F1CB-1EFB-45D0-BC6D-43BF8F25CCE3}"/>
    <cellStyle name="Normal 4 3 2 2 2 11" xfId="9853" xr:uid="{9343BF84-74C7-4AD8-B3E9-7375DD426DAB}"/>
    <cellStyle name="Normal 4 3 2 2 2 2" xfId="370" xr:uid="{00000000-0005-0000-0000-00000B140000}"/>
    <cellStyle name="Normal 4 3 2 2 2 2 10" xfId="9854" xr:uid="{F8C78465-7592-4BCC-A269-C6D097460349}"/>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CBD3EEF0-FA8C-46B7-B21C-58F5AB540FD7}"/>
    <cellStyle name="Normal 4 3 2 2 2 2 2 2 2 3" xfId="12413" xr:uid="{CD00FF14-9ED6-4B8D-9F7C-DAD40B35AE72}"/>
    <cellStyle name="Normal 4 3 2 2 2 2 2 2 3" xfId="5159" xr:uid="{00000000-0005-0000-0000-000010140000}"/>
    <cellStyle name="Normal 4 3 2 2 2 2 2 2 3 2" xfId="14485" xr:uid="{E55C35B2-0CBF-4125-919F-4FFDC330B37E}"/>
    <cellStyle name="Normal 4 3 2 2 2 2 2 2 4" xfId="9557" xr:uid="{4F6BDD99-7BF1-4D2F-9EDC-4F75F1942DB4}"/>
    <cellStyle name="Normal 4 3 2 2 2 2 2 2 4 2" xfId="18872" xr:uid="{E000F3D0-26E0-4F0B-AD91-1755A15CD7DF}"/>
    <cellStyle name="Normal 4 3 2 2 2 2 2 2 5" xfId="10268" xr:uid="{6A6E79FF-AEB1-4E24-93FD-822B64092567}"/>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B23910F9-AACE-4EDE-B447-6B9D97CA82F9}"/>
    <cellStyle name="Normal 4 3 2 2 2 2 2 3 2 3" xfId="12826" xr:uid="{F93F5BD6-86F6-4C4F-B432-7F03FA00B4F5}"/>
    <cellStyle name="Normal 4 3 2 2 2 2 2 3 3" xfId="5572" xr:uid="{00000000-0005-0000-0000-000014140000}"/>
    <cellStyle name="Normal 4 3 2 2 2 2 2 3 3 2" xfId="14898" xr:uid="{F34D6D81-5759-4C6D-83C3-C890B0F54232}"/>
    <cellStyle name="Normal 4 3 2 2 2 2 2 3 4" xfId="10681" xr:uid="{CD2372A5-501B-4F7D-8C48-EA670DB604C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C25494E3-5707-4F37-B950-99BFE1C6BD5A}"/>
    <cellStyle name="Normal 4 3 2 2 2 2 2 4 2 3" xfId="13239" xr:uid="{B0B6F5C5-7323-4AA1-9525-CFC9D6D7836D}"/>
    <cellStyle name="Normal 4 3 2 2 2 2 2 4 3" xfId="5985" xr:uid="{00000000-0005-0000-0000-000018140000}"/>
    <cellStyle name="Normal 4 3 2 2 2 2 2 4 3 2" xfId="15311" xr:uid="{9B93B6E8-2F52-4658-9C08-5A6C5EFD22DE}"/>
    <cellStyle name="Normal 4 3 2 2 2 2 2 4 4" xfId="11094" xr:uid="{6818F151-839E-4EF1-BA92-3435ADCDA0E2}"/>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3D7A9811-ACD4-4F73-888E-DCF1E667740E}"/>
    <cellStyle name="Normal 4 3 2 2 2 2 2 5 2 3" xfId="13652" xr:uid="{DA9888BC-1986-49B4-8813-836B09778BF9}"/>
    <cellStyle name="Normal 4 3 2 2 2 2 2 5 3" xfId="6398" xr:uid="{00000000-0005-0000-0000-00001C140000}"/>
    <cellStyle name="Normal 4 3 2 2 2 2 2 5 3 2" xfId="15724" xr:uid="{0664364D-D10F-41D7-9477-FF0F49A3C3C9}"/>
    <cellStyle name="Normal 4 3 2 2 2 2 2 5 4" xfId="11507" xr:uid="{CD42BA88-F305-4116-B647-06B051925759}"/>
    <cellStyle name="Normal 4 3 2 2 2 2 2 6" xfId="2528" xr:uid="{00000000-0005-0000-0000-00001D140000}"/>
    <cellStyle name="Normal 4 3 2 2 2 2 2 6 2" xfId="6811" xr:uid="{00000000-0005-0000-0000-00001E140000}"/>
    <cellStyle name="Normal 4 3 2 2 2 2 2 6 2 2" xfId="16137" xr:uid="{6140DE31-B7E5-42FF-9EFA-D0972EEBA723}"/>
    <cellStyle name="Normal 4 3 2 2 2 2 2 6 3" xfId="11920" xr:uid="{22A027AE-414E-4EBD-BD52-976427D28540}"/>
    <cellStyle name="Normal 4 3 2 2 2 2 2 7" xfId="4746" xr:uid="{00000000-0005-0000-0000-00001F140000}"/>
    <cellStyle name="Normal 4 3 2 2 2 2 2 7 2" xfId="14072" xr:uid="{74969D8E-F60A-480A-9485-75C7F4B902B2}"/>
    <cellStyle name="Normal 4 3 2 2 2 2 2 8" xfId="9132" xr:uid="{14F6ED12-EABF-4C82-AD59-55D351026913}"/>
    <cellStyle name="Normal 4 3 2 2 2 2 2 8 2" xfId="18456" xr:uid="{4F53FA8D-5C55-4230-9288-08863614F57D}"/>
    <cellStyle name="Normal 4 3 2 2 2 2 2 9" xfId="9855" xr:uid="{79BEA176-7BFC-4432-B4B3-2C9C3391F94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91AC1F46-E7C7-4F04-9060-D9B6A479C143}"/>
    <cellStyle name="Normal 4 3 2 2 2 2 3 2 3" xfId="12412" xr:uid="{FCA756CC-8069-4AD5-B8E2-4A2D83146963}"/>
    <cellStyle name="Normal 4 3 2 2 2 2 3 3" xfId="5158" xr:uid="{00000000-0005-0000-0000-000023140000}"/>
    <cellStyle name="Normal 4 3 2 2 2 2 3 3 2" xfId="14484" xr:uid="{E9F13EB9-E7AF-45B9-98EA-E1DB78E5477E}"/>
    <cellStyle name="Normal 4 3 2 2 2 2 3 4" xfId="9350" xr:uid="{DFFEAFB7-A284-4FD9-B115-C19DA011CCC7}"/>
    <cellStyle name="Normal 4 3 2 2 2 2 3 4 2" xfId="18665" xr:uid="{6E1B7682-8519-43C8-96A5-C7DD1E227918}"/>
    <cellStyle name="Normal 4 3 2 2 2 2 3 5" xfId="10267" xr:uid="{3DF5E555-7163-4DE4-8425-94FCF37DE55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034BD0E8-F3FB-4767-95AA-8F4EDDA21B0C}"/>
    <cellStyle name="Normal 4 3 2 2 2 2 4 2 3" xfId="12825" xr:uid="{8C12C479-723E-4347-ACFD-D24E4E05724C}"/>
    <cellStyle name="Normal 4 3 2 2 2 2 4 3" xfId="5571" xr:uid="{00000000-0005-0000-0000-000027140000}"/>
    <cellStyle name="Normal 4 3 2 2 2 2 4 3 2" xfId="14897" xr:uid="{D753ED81-7144-4313-A4EF-A1E9DBBE0971}"/>
    <cellStyle name="Normal 4 3 2 2 2 2 4 4" xfId="10680" xr:uid="{B83EAABC-46E6-4034-AE91-312960A8F185}"/>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E01C7CAF-8CA4-4531-803C-5F1A56BD7F14}"/>
    <cellStyle name="Normal 4 3 2 2 2 2 5 2 3" xfId="13238" xr:uid="{1354A8D7-5BA7-408F-AE54-1ECA8499ABFD}"/>
    <cellStyle name="Normal 4 3 2 2 2 2 5 3" xfId="5984" xr:uid="{00000000-0005-0000-0000-00002B140000}"/>
    <cellStyle name="Normal 4 3 2 2 2 2 5 3 2" xfId="15310" xr:uid="{12A01EFD-F2E9-4CBC-BF59-5652F110D9B1}"/>
    <cellStyle name="Normal 4 3 2 2 2 2 5 4" xfId="11093" xr:uid="{30967688-4FF1-4FDB-A0CF-90ECBF64C48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17F70845-86BE-4F4C-97CF-3BEBEEBF8FE1}"/>
    <cellStyle name="Normal 4 3 2 2 2 2 6 2 3" xfId="13651" xr:uid="{AFACE0E3-1A78-4E75-8E8A-70A9A3236EBD}"/>
    <cellStyle name="Normal 4 3 2 2 2 2 6 3" xfId="6397" xr:uid="{00000000-0005-0000-0000-00002F140000}"/>
    <cellStyle name="Normal 4 3 2 2 2 2 6 3 2" xfId="15723" xr:uid="{38184AE0-63C3-469D-BE82-1CCDD2DA2BDD}"/>
    <cellStyle name="Normal 4 3 2 2 2 2 6 4" xfId="11506" xr:uid="{7639FEB4-B4FE-4794-87F8-2D396041E62D}"/>
    <cellStyle name="Normal 4 3 2 2 2 2 7" xfId="2527" xr:uid="{00000000-0005-0000-0000-000030140000}"/>
    <cellStyle name="Normal 4 3 2 2 2 2 7 2" xfId="6810" xr:uid="{00000000-0005-0000-0000-000031140000}"/>
    <cellStyle name="Normal 4 3 2 2 2 2 7 2 2" xfId="16136" xr:uid="{D062A584-7E5F-4FE8-93B1-5B7EA79D1564}"/>
    <cellStyle name="Normal 4 3 2 2 2 2 7 3" xfId="11919" xr:uid="{7A8DC3F7-AF6E-478A-BF3E-428884A5992A}"/>
    <cellStyle name="Normal 4 3 2 2 2 2 8" xfId="4745" xr:uid="{00000000-0005-0000-0000-000032140000}"/>
    <cellStyle name="Normal 4 3 2 2 2 2 8 2" xfId="14071" xr:uid="{6DDD9236-80BA-4EB4-9138-B9D9278F25D9}"/>
    <cellStyle name="Normal 4 3 2 2 2 2 9" xfId="8925" xr:uid="{71BB8AFA-37D7-474D-A12B-C284DDE23CE9}"/>
    <cellStyle name="Normal 4 3 2 2 2 2 9 2" xfId="18249" xr:uid="{81D3A2FF-72AF-4D85-BCC6-A15A68331313}"/>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F9BFD9C0-2401-4381-ABCB-39FDB5E61C03}"/>
    <cellStyle name="Normal 4 3 2 2 2 3 2 2 3" xfId="12414" xr:uid="{D0FDA3ED-006B-4E3F-8F4C-3669F1BE36EF}"/>
    <cellStyle name="Normal 4 3 2 2 2 3 2 3" xfId="5160" xr:uid="{00000000-0005-0000-0000-000037140000}"/>
    <cellStyle name="Normal 4 3 2 2 2 3 2 3 2" xfId="14486" xr:uid="{44A25EE8-42D9-49D7-B684-79F181444F90}"/>
    <cellStyle name="Normal 4 3 2 2 2 3 2 4" xfId="9454" xr:uid="{B81F5EAA-7D8E-43B5-94D7-313E66088BA5}"/>
    <cellStyle name="Normal 4 3 2 2 2 3 2 4 2" xfId="18769" xr:uid="{FF4F9EA0-CBFE-4F5C-B5F1-81399978B971}"/>
    <cellStyle name="Normal 4 3 2 2 2 3 2 5" xfId="10269" xr:uid="{BF845B2F-89BD-4CD4-B45F-8A181482CE72}"/>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319F6B19-333B-4754-BBF1-944937FB78D8}"/>
    <cellStyle name="Normal 4 3 2 2 2 3 3 2 3" xfId="12827" xr:uid="{5D76C597-B7F8-47AC-A1A5-247EDCDFDF6D}"/>
    <cellStyle name="Normal 4 3 2 2 2 3 3 3" xfId="5573" xr:uid="{00000000-0005-0000-0000-00003B140000}"/>
    <cellStyle name="Normal 4 3 2 2 2 3 3 3 2" xfId="14899" xr:uid="{64C1D60F-B316-4D1A-9AC6-3C3B193799C0}"/>
    <cellStyle name="Normal 4 3 2 2 2 3 3 4" xfId="10682" xr:uid="{A088D363-66C2-43E1-B78F-28D0B7A780FD}"/>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DB2113B4-4EE1-4B16-8E1C-39540127E38E}"/>
    <cellStyle name="Normal 4 3 2 2 2 3 4 2 3" xfId="13240" xr:uid="{6955E90C-BFC4-4D8A-BFC8-858A2FA023B7}"/>
    <cellStyle name="Normal 4 3 2 2 2 3 4 3" xfId="5986" xr:uid="{00000000-0005-0000-0000-00003F140000}"/>
    <cellStyle name="Normal 4 3 2 2 2 3 4 3 2" xfId="15312" xr:uid="{3AA5BB79-E114-4287-88F0-A9E018CF567B}"/>
    <cellStyle name="Normal 4 3 2 2 2 3 4 4" xfId="11095" xr:uid="{998379B7-1538-4D97-BF0F-A0EDF8825164}"/>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F0259EA4-C4C6-4EA4-92D8-D1A47346E41C}"/>
    <cellStyle name="Normal 4 3 2 2 2 3 5 2 3" xfId="13653" xr:uid="{7582BDFC-7AAE-4FDC-8583-FD07EF4D22F6}"/>
    <cellStyle name="Normal 4 3 2 2 2 3 5 3" xfId="6399" xr:uid="{00000000-0005-0000-0000-000043140000}"/>
    <cellStyle name="Normal 4 3 2 2 2 3 5 3 2" xfId="15725" xr:uid="{CF0C58A8-C9EE-40F5-8829-7735BF94CA2B}"/>
    <cellStyle name="Normal 4 3 2 2 2 3 5 4" xfId="11508" xr:uid="{81D0F135-59C7-4659-BC00-97C0F61B58FF}"/>
    <cellStyle name="Normal 4 3 2 2 2 3 6" xfId="2529" xr:uid="{00000000-0005-0000-0000-000044140000}"/>
    <cellStyle name="Normal 4 3 2 2 2 3 6 2" xfId="6812" xr:uid="{00000000-0005-0000-0000-000045140000}"/>
    <cellStyle name="Normal 4 3 2 2 2 3 6 2 2" xfId="16138" xr:uid="{34302B29-CCDD-4EF3-BA2C-2429F9138C96}"/>
    <cellStyle name="Normal 4 3 2 2 2 3 6 3" xfId="11921" xr:uid="{301C0DBC-2D93-4803-B4D3-1618D81DB737}"/>
    <cellStyle name="Normal 4 3 2 2 2 3 7" xfId="4747" xr:uid="{00000000-0005-0000-0000-000046140000}"/>
    <cellStyle name="Normal 4 3 2 2 2 3 7 2" xfId="14073" xr:uid="{B8BE11F8-AFA0-48CB-855E-DDCFDF209478}"/>
    <cellStyle name="Normal 4 3 2 2 2 3 8" xfId="9029" xr:uid="{CC421D7E-69EF-4D96-A95C-E67F046F8D14}"/>
    <cellStyle name="Normal 4 3 2 2 2 3 8 2" xfId="18353" xr:uid="{0DE78FB7-816B-42D8-B490-9B7D79E28B6B}"/>
    <cellStyle name="Normal 4 3 2 2 2 3 9" xfId="9856" xr:uid="{E0FDADD6-E98C-4032-BE67-4FB47670BB8B}"/>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5B1918B1-CB65-4D63-92D7-0D9209FCFE98}"/>
    <cellStyle name="Normal 4 3 2 2 2 4 2 3" xfId="12411" xr:uid="{87F574C8-24C3-4015-877A-751E9A3FFC13}"/>
    <cellStyle name="Normal 4 3 2 2 2 4 3" xfId="5157" xr:uid="{00000000-0005-0000-0000-00004A140000}"/>
    <cellStyle name="Normal 4 3 2 2 2 4 3 2" xfId="14483" xr:uid="{82F37E98-11AD-40BC-985C-E9006327CA45}"/>
    <cellStyle name="Normal 4 3 2 2 2 4 4" xfId="9247" xr:uid="{70D9D224-DB0B-42B4-B4A9-BC88F455C395}"/>
    <cellStyle name="Normal 4 3 2 2 2 4 4 2" xfId="18562" xr:uid="{64916466-11BD-45AA-A7A9-8415F1E05DA7}"/>
    <cellStyle name="Normal 4 3 2 2 2 4 5" xfId="10266" xr:uid="{54F6668F-E211-455A-AE51-B55BD58C90C6}"/>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72CF1E77-3820-4489-A4A7-EC125E7203D5}"/>
    <cellStyle name="Normal 4 3 2 2 2 5 2 3" xfId="12824" xr:uid="{09C5657B-7000-4247-8163-40F7F6E72F6A}"/>
    <cellStyle name="Normal 4 3 2 2 2 5 3" xfId="5570" xr:uid="{00000000-0005-0000-0000-00004E140000}"/>
    <cellStyle name="Normal 4 3 2 2 2 5 3 2" xfId="14896" xr:uid="{E19ADC4B-BE65-47AC-8660-CCAA51F6DDBC}"/>
    <cellStyle name="Normal 4 3 2 2 2 5 4" xfId="10679" xr:uid="{DB0D2177-55C8-4CB9-9609-8809E7275A94}"/>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231B9145-4E69-4B34-838B-AA4471DC7237}"/>
    <cellStyle name="Normal 4 3 2 2 2 6 2 3" xfId="13237" xr:uid="{E1CC7FAF-5FDD-4E39-A660-F62B3233C1CF}"/>
    <cellStyle name="Normal 4 3 2 2 2 6 3" xfId="5983" xr:uid="{00000000-0005-0000-0000-000052140000}"/>
    <cellStyle name="Normal 4 3 2 2 2 6 3 2" xfId="15309" xr:uid="{04EA3092-B32F-45B2-AC27-5BE43B7373B7}"/>
    <cellStyle name="Normal 4 3 2 2 2 6 4" xfId="11092" xr:uid="{FED0E7C8-DD44-4213-99D6-DAE1888654E9}"/>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D23FC4AC-9F12-4BCD-A4A0-41BF7E7C1614}"/>
    <cellStyle name="Normal 4 3 2 2 2 7 2 3" xfId="13650" xr:uid="{88470972-557E-44AA-A382-92D7C0F1DF0A}"/>
    <cellStyle name="Normal 4 3 2 2 2 7 3" xfId="6396" xr:uid="{00000000-0005-0000-0000-000056140000}"/>
    <cellStyle name="Normal 4 3 2 2 2 7 3 2" xfId="15722" xr:uid="{FB73BB07-46C1-43E5-A8D8-474067A1C27E}"/>
    <cellStyle name="Normal 4 3 2 2 2 7 4" xfId="11505" xr:uid="{3C7F863D-0F51-42C2-BC25-A7A3018E84E2}"/>
    <cellStyle name="Normal 4 3 2 2 2 8" xfId="2526" xr:uid="{00000000-0005-0000-0000-000057140000}"/>
    <cellStyle name="Normal 4 3 2 2 2 8 2" xfId="6809" xr:uid="{00000000-0005-0000-0000-000058140000}"/>
    <cellStyle name="Normal 4 3 2 2 2 8 2 2" xfId="16135" xr:uid="{BA09908D-3937-4D27-BE2B-701D1DD3958D}"/>
    <cellStyle name="Normal 4 3 2 2 2 8 3" xfId="11918" xr:uid="{E46A3148-0ABF-41C7-B739-4F247FE78D3F}"/>
    <cellStyle name="Normal 4 3 2 2 2 9" xfId="4744" xr:uid="{00000000-0005-0000-0000-000059140000}"/>
    <cellStyle name="Normal 4 3 2 2 2 9 2" xfId="14070" xr:uid="{918989B3-FBC1-4BF2-82A7-3A909F9B64F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1BA0DD43-62B1-4BEB-974D-D92CC988E106}"/>
    <cellStyle name="Normal 4 3 3 11" xfId="9857" xr:uid="{B7BC29A3-64B8-481D-951D-1B777C64E0D6}"/>
    <cellStyle name="Normal 4 3 3 2" xfId="375" xr:uid="{00000000-0005-0000-0000-00005E140000}"/>
    <cellStyle name="Normal 4 3 3 2 10" xfId="9858" xr:uid="{7216AAD0-363B-471B-94A6-01E92B0DA7CB}"/>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E0A343DC-AE0F-4377-A902-4A1978865176}"/>
    <cellStyle name="Normal 4 3 3 2 2 2 2 3" xfId="12417" xr:uid="{64841F96-0D7F-422A-A2E4-AE0CAAA73811}"/>
    <cellStyle name="Normal 4 3 3 2 2 2 3" xfId="5163" xr:uid="{00000000-0005-0000-0000-000063140000}"/>
    <cellStyle name="Normal 4 3 3 2 2 2 3 2" xfId="14489" xr:uid="{317C7A5E-7A8F-4B7D-9464-73F531476F43}"/>
    <cellStyle name="Normal 4 3 3 2 2 2 4" xfId="9556" xr:uid="{7233D5E9-9F1E-43FF-8391-DCCFDF8A705D}"/>
    <cellStyle name="Normal 4 3 3 2 2 2 4 2" xfId="18871" xr:uid="{C565693D-18EE-47C1-9161-E6E379A70CDD}"/>
    <cellStyle name="Normal 4 3 3 2 2 2 5" xfId="10272" xr:uid="{089D7F19-FF5C-4BF8-8551-D46015A0B7A6}"/>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789BB191-2A42-4784-9297-88D9EDEA1F31}"/>
    <cellStyle name="Normal 4 3 3 2 2 3 2 3" xfId="12830" xr:uid="{92F343B5-1481-4C7F-B886-5564DADCC035}"/>
    <cellStyle name="Normal 4 3 3 2 2 3 3" xfId="5576" xr:uid="{00000000-0005-0000-0000-000067140000}"/>
    <cellStyle name="Normal 4 3 3 2 2 3 3 2" xfId="14902" xr:uid="{6166ABDC-7106-4A05-9C54-098C7244A838}"/>
    <cellStyle name="Normal 4 3 3 2 2 3 4" xfId="10685" xr:uid="{BED3EA17-2F7E-472F-8081-485219CFB86B}"/>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66DB7A71-421D-46D8-AC05-A5B0FDBA7C2D}"/>
    <cellStyle name="Normal 4 3 3 2 2 4 2 3" xfId="13243" xr:uid="{8FEF271F-7A24-4C62-9731-F7F5B3C839FE}"/>
    <cellStyle name="Normal 4 3 3 2 2 4 3" xfId="5989" xr:uid="{00000000-0005-0000-0000-00006B140000}"/>
    <cellStyle name="Normal 4 3 3 2 2 4 3 2" xfId="15315" xr:uid="{D97C842E-D038-42CD-8B2E-6589D0FCBFB5}"/>
    <cellStyle name="Normal 4 3 3 2 2 4 4" xfId="11098" xr:uid="{647156B9-23EB-4219-B419-F9369ACF2FF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F1007D1B-1B4C-4260-B36E-368147D9E741}"/>
    <cellStyle name="Normal 4 3 3 2 2 5 2 3" xfId="13656" xr:uid="{FBAB4DFF-4CA7-47E5-B640-00F7D06220D5}"/>
    <cellStyle name="Normal 4 3 3 2 2 5 3" xfId="6402" xr:uid="{00000000-0005-0000-0000-00006F140000}"/>
    <cellStyle name="Normal 4 3 3 2 2 5 3 2" xfId="15728" xr:uid="{C8EEAD5B-546D-4299-AAAC-BE7746D29ED0}"/>
    <cellStyle name="Normal 4 3 3 2 2 5 4" xfId="11511" xr:uid="{CF6E3C0B-209E-4D68-A32F-C7801E911E08}"/>
    <cellStyle name="Normal 4 3 3 2 2 6" xfId="2532" xr:uid="{00000000-0005-0000-0000-000070140000}"/>
    <cellStyle name="Normal 4 3 3 2 2 6 2" xfId="6815" xr:uid="{00000000-0005-0000-0000-000071140000}"/>
    <cellStyle name="Normal 4 3 3 2 2 6 2 2" xfId="16141" xr:uid="{7058E3A2-EA91-4EC5-9026-94EBE5C0D090}"/>
    <cellStyle name="Normal 4 3 3 2 2 6 3" xfId="11924" xr:uid="{5FE51BAC-ABD8-4693-A7F0-647793CB3888}"/>
    <cellStyle name="Normal 4 3 3 2 2 7" xfId="4750" xr:uid="{00000000-0005-0000-0000-000072140000}"/>
    <cellStyle name="Normal 4 3 3 2 2 7 2" xfId="14076" xr:uid="{B65C8297-2086-44A6-8D83-A8903BDFF21F}"/>
    <cellStyle name="Normal 4 3 3 2 2 8" xfId="9131" xr:uid="{D7BA3B10-6765-4B57-99D1-3AF7343772F8}"/>
    <cellStyle name="Normal 4 3 3 2 2 8 2" xfId="18455" xr:uid="{89405CF1-D27D-41C2-A692-18C5D34B0460}"/>
    <cellStyle name="Normal 4 3 3 2 2 9" xfId="9859" xr:uid="{DEE2CED3-ACBD-4B0A-BA26-6BB2A9153553}"/>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D0BBB1AF-B2AB-409F-87C3-A3F8148C0296}"/>
    <cellStyle name="Normal 4 3 3 2 3 2 3" xfId="12416" xr:uid="{4A98D003-5DC3-4C12-80CD-7ED90B7D640D}"/>
    <cellStyle name="Normal 4 3 3 2 3 3" xfId="5162" xr:uid="{00000000-0005-0000-0000-000076140000}"/>
    <cellStyle name="Normal 4 3 3 2 3 3 2" xfId="14488" xr:uid="{CCCD5E8F-3196-4C73-8126-D6C4CB43D8F0}"/>
    <cellStyle name="Normal 4 3 3 2 3 4" xfId="9349" xr:uid="{E498700C-D7AE-42FC-8EB1-59BA2C1BA6B9}"/>
    <cellStyle name="Normal 4 3 3 2 3 4 2" xfId="18664" xr:uid="{E2A4E8B3-83A5-451C-BFEF-9F66A0E958B1}"/>
    <cellStyle name="Normal 4 3 3 2 3 5" xfId="10271" xr:uid="{DCCB7A6F-B530-4F4A-B5A3-6A0EC7F03E0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F8F5445A-199A-4897-B12F-DEBD4E904661}"/>
    <cellStyle name="Normal 4 3 3 2 4 2 3" xfId="12829" xr:uid="{DE706601-9317-439D-858B-DFEE8BCB6BA2}"/>
    <cellStyle name="Normal 4 3 3 2 4 3" xfId="5575" xr:uid="{00000000-0005-0000-0000-00007A140000}"/>
    <cellStyle name="Normal 4 3 3 2 4 3 2" xfId="14901" xr:uid="{5B2A4DD0-8B8E-4FF9-BA4C-5CB5949E2C63}"/>
    <cellStyle name="Normal 4 3 3 2 4 4" xfId="10684" xr:uid="{C0405A33-CF8D-4E23-A6C6-3D92768A732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9ECD96C0-3FF4-46B8-9331-B0B658A5EDDE}"/>
    <cellStyle name="Normal 4 3 3 2 5 2 3" xfId="13242" xr:uid="{622B3B78-D05E-4D96-AE80-21B173856B8C}"/>
    <cellStyle name="Normal 4 3 3 2 5 3" xfId="5988" xr:uid="{00000000-0005-0000-0000-00007E140000}"/>
    <cellStyle name="Normal 4 3 3 2 5 3 2" xfId="15314" xr:uid="{DB22CBD0-9B10-410A-9172-56E579ED1AE7}"/>
    <cellStyle name="Normal 4 3 3 2 5 4" xfId="11097" xr:uid="{7F201B8A-F3B1-46BF-871B-D2F50191808D}"/>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D34178C9-6022-4714-ABCD-C2F4A72CB423}"/>
    <cellStyle name="Normal 4 3 3 2 6 2 3" xfId="13655" xr:uid="{D55ED74D-CC94-43DA-874E-1024819B42CD}"/>
    <cellStyle name="Normal 4 3 3 2 6 3" xfId="6401" xr:uid="{00000000-0005-0000-0000-000082140000}"/>
    <cellStyle name="Normal 4 3 3 2 6 3 2" xfId="15727" xr:uid="{D26FF72E-B7BC-4B15-B6D8-823D151FE47C}"/>
    <cellStyle name="Normal 4 3 3 2 6 4" xfId="11510" xr:uid="{01991141-4CAB-482F-85CF-E97E115C1F7C}"/>
    <cellStyle name="Normal 4 3 3 2 7" xfId="2531" xr:uid="{00000000-0005-0000-0000-000083140000}"/>
    <cellStyle name="Normal 4 3 3 2 7 2" xfId="6814" xr:uid="{00000000-0005-0000-0000-000084140000}"/>
    <cellStyle name="Normal 4 3 3 2 7 2 2" xfId="16140" xr:uid="{9B0D87CF-1096-4109-846C-BCED2E5E3D6B}"/>
    <cellStyle name="Normal 4 3 3 2 7 3" xfId="11923" xr:uid="{99E676CA-1AE3-4DD5-A29B-0938BD62C7C5}"/>
    <cellStyle name="Normal 4 3 3 2 8" xfId="4749" xr:uid="{00000000-0005-0000-0000-000085140000}"/>
    <cellStyle name="Normal 4 3 3 2 8 2" xfId="14075" xr:uid="{69997C75-471A-4C2C-A6F1-A0D1CAB2FC35}"/>
    <cellStyle name="Normal 4 3 3 2 9" xfId="8924" xr:uid="{F9E914C5-63E8-4CB8-8EA1-7427CE35C4AA}"/>
    <cellStyle name="Normal 4 3 3 2 9 2" xfId="18248" xr:uid="{C1ECDB89-B55D-462E-BCEA-80230FBFDA07}"/>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144F897B-0A14-4386-A79D-C87952C702E8}"/>
    <cellStyle name="Normal 4 3 3 3 2 2 3" xfId="12418" xr:uid="{8961AE9B-E3C0-47E0-9F4F-31E01659BE75}"/>
    <cellStyle name="Normal 4 3 3 3 2 3" xfId="5164" xr:uid="{00000000-0005-0000-0000-00008A140000}"/>
    <cellStyle name="Normal 4 3 3 3 2 3 2" xfId="14490" xr:uid="{F46B1E4D-A09E-4B6F-BBF6-A758261075DC}"/>
    <cellStyle name="Normal 4 3 3 3 2 4" xfId="9453" xr:uid="{18D68920-503C-42C1-A733-EBE17DC6D008}"/>
    <cellStyle name="Normal 4 3 3 3 2 4 2" xfId="18768" xr:uid="{7D476776-7D06-4D20-866B-5BB95F151E2F}"/>
    <cellStyle name="Normal 4 3 3 3 2 5" xfId="10273" xr:uid="{CAFBB48C-746E-4045-A236-079FCE5DA276}"/>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08356D94-08E1-48E9-888D-A759E6CC176C}"/>
    <cellStyle name="Normal 4 3 3 3 3 2 3" xfId="12831" xr:uid="{E8F877BA-8A50-46FB-8267-990E65933137}"/>
    <cellStyle name="Normal 4 3 3 3 3 3" xfId="5577" xr:uid="{00000000-0005-0000-0000-00008E140000}"/>
    <cellStyle name="Normal 4 3 3 3 3 3 2" xfId="14903" xr:uid="{4D520C54-89F4-4EE9-921C-1F414C074C26}"/>
    <cellStyle name="Normal 4 3 3 3 3 4" xfId="10686" xr:uid="{D636AAF8-6357-4BA2-8051-842E7EA564A9}"/>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A4DA0BB3-E07A-4B16-BCC6-DF232CA8AE73}"/>
    <cellStyle name="Normal 4 3 3 3 4 2 3" xfId="13244" xr:uid="{D720F9E3-966F-49D6-AE8B-FE66601AC1C8}"/>
    <cellStyle name="Normal 4 3 3 3 4 3" xfId="5990" xr:uid="{00000000-0005-0000-0000-000092140000}"/>
    <cellStyle name="Normal 4 3 3 3 4 3 2" xfId="15316" xr:uid="{C0AD0115-488A-40CA-B216-AB2D952D3BD8}"/>
    <cellStyle name="Normal 4 3 3 3 4 4" xfId="11099" xr:uid="{A683FC71-217E-4EA8-9674-549B684AE04F}"/>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16E9E4D8-F838-4014-B63D-35B6BE5FEEE9}"/>
    <cellStyle name="Normal 4 3 3 3 5 2 3" xfId="13657" xr:uid="{0ABABFD7-0AFA-4239-A69C-E14E9C964B08}"/>
    <cellStyle name="Normal 4 3 3 3 5 3" xfId="6403" xr:uid="{00000000-0005-0000-0000-000096140000}"/>
    <cellStyle name="Normal 4 3 3 3 5 3 2" xfId="15729" xr:uid="{A301EDE4-A149-40DD-BBBC-784514E97652}"/>
    <cellStyle name="Normal 4 3 3 3 5 4" xfId="11512" xr:uid="{75439374-ABDE-4104-97DF-74FA503E2591}"/>
    <cellStyle name="Normal 4 3 3 3 6" xfId="2533" xr:uid="{00000000-0005-0000-0000-000097140000}"/>
    <cellStyle name="Normal 4 3 3 3 6 2" xfId="6816" xr:uid="{00000000-0005-0000-0000-000098140000}"/>
    <cellStyle name="Normal 4 3 3 3 6 2 2" xfId="16142" xr:uid="{CFAF25D2-05D1-4121-A7DF-82BBE9F00779}"/>
    <cellStyle name="Normal 4 3 3 3 6 3" xfId="11925" xr:uid="{46ECFEE0-64D2-4FE2-805D-5C2258ED43E9}"/>
    <cellStyle name="Normal 4 3 3 3 7" xfId="4751" xr:uid="{00000000-0005-0000-0000-000099140000}"/>
    <cellStyle name="Normal 4 3 3 3 7 2" xfId="14077" xr:uid="{A6152AF2-751D-44E0-B699-DF0C749E1E6E}"/>
    <cellStyle name="Normal 4 3 3 3 8" xfId="9028" xr:uid="{A0BD85BE-0D8B-455E-B326-708B8FF8A8C8}"/>
    <cellStyle name="Normal 4 3 3 3 8 2" xfId="18352" xr:uid="{C33D33FA-70B7-4163-8B4F-3DA534233A17}"/>
    <cellStyle name="Normal 4 3 3 3 9" xfId="9860" xr:uid="{9A56A02E-59D4-4EA1-995F-F8DE0E724EF8}"/>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4B196FC1-1E3C-4E48-B78E-FD268AFFF7F5}"/>
    <cellStyle name="Normal 4 3 3 4 2 3" xfId="12415" xr:uid="{212E7A53-74D8-4725-A36E-1622F1AB800F}"/>
    <cellStyle name="Normal 4 3 3 4 3" xfId="5161" xr:uid="{00000000-0005-0000-0000-00009D140000}"/>
    <cellStyle name="Normal 4 3 3 4 3 2" xfId="14487" xr:uid="{B19F2C0A-C3B5-4B5B-B073-59629719D31D}"/>
    <cellStyle name="Normal 4 3 3 4 4" xfId="9246" xr:uid="{E1107DA9-8F13-4216-80A2-CEA1D2EF57FC}"/>
    <cellStyle name="Normal 4 3 3 4 4 2" xfId="18561" xr:uid="{CFFFDEC9-E5FC-4CE5-873D-5E1F0FC63CF4}"/>
    <cellStyle name="Normal 4 3 3 4 5" xfId="10270" xr:uid="{821485F3-B24B-4AEB-9453-8860191BCD9D}"/>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76C9A974-ABBB-4893-902F-F83191D52821}"/>
    <cellStyle name="Normal 4 3 3 5 2 3" xfId="12828" xr:uid="{949B375C-BFEB-410F-B52A-6C908FCA7C28}"/>
    <cellStyle name="Normal 4 3 3 5 3" xfId="5574" xr:uid="{00000000-0005-0000-0000-0000A1140000}"/>
    <cellStyle name="Normal 4 3 3 5 3 2" xfId="14900" xr:uid="{C932D6BF-399A-4EA6-AC76-F152A9D2693F}"/>
    <cellStyle name="Normal 4 3 3 5 4" xfId="10683" xr:uid="{F8B73CB0-136B-4A8C-AF4C-0CF8E4D079BB}"/>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B8518228-07D0-42FD-8700-D0AECA8A9AD9}"/>
    <cellStyle name="Normal 4 3 3 6 2 3" xfId="13241" xr:uid="{148559D7-30C7-4C62-8BB2-182952F2FE25}"/>
    <cellStyle name="Normal 4 3 3 6 3" xfId="5987" xr:uid="{00000000-0005-0000-0000-0000A5140000}"/>
    <cellStyle name="Normal 4 3 3 6 3 2" xfId="15313" xr:uid="{5CF30D7C-9BFF-4010-9077-91F0B0F0D8ED}"/>
    <cellStyle name="Normal 4 3 3 6 4" xfId="11096" xr:uid="{66FB44F8-D422-4B5E-8382-43332949FFD6}"/>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75DEAF8D-0077-4567-9E1C-CE158434B380}"/>
    <cellStyle name="Normal 4 3 3 7 2 3" xfId="13654" xr:uid="{BA4F4B83-7E79-449A-9368-E710C5799E97}"/>
    <cellStyle name="Normal 4 3 3 7 3" xfId="6400" xr:uid="{00000000-0005-0000-0000-0000A9140000}"/>
    <cellStyle name="Normal 4 3 3 7 3 2" xfId="15726" xr:uid="{FC2E8C18-C3E8-44BF-B236-F313B9CFF347}"/>
    <cellStyle name="Normal 4 3 3 7 4" xfId="11509" xr:uid="{9B29280E-98A8-4097-A7EE-6799E5ADD3BC}"/>
    <cellStyle name="Normal 4 3 3 8" xfId="2530" xr:uid="{00000000-0005-0000-0000-0000AA140000}"/>
    <cellStyle name="Normal 4 3 3 8 2" xfId="6813" xr:uid="{00000000-0005-0000-0000-0000AB140000}"/>
    <cellStyle name="Normal 4 3 3 8 2 2" xfId="16139" xr:uid="{452A7684-01C5-42AD-8B48-DA97615604E9}"/>
    <cellStyle name="Normal 4 3 3 8 3" xfId="11922" xr:uid="{6EF747B0-A246-41DE-A893-09060400AF2A}"/>
    <cellStyle name="Normal 4 3 3 9" xfId="4748" xr:uid="{00000000-0005-0000-0000-0000AC140000}"/>
    <cellStyle name="Normal 4 3 3 9 2" xfId="14074" xr:uid="{0C471C6D-221D-4102-B73C-DC41E2369F55}"/>
    <cellStyle name="Normal 4 3 4" xfId="842" xr:uid="{00000000-0005-0000-0000-0000AD140000}"/>
    <cellStyle name="Normal 4 3 4 2" xfId="3079" xr:uid="{00000000-0005-0000-0000-0000AE140000}"/>
    <cellStyle name="Normal 4 3 4 2 2" xfId="7301" xr:uid="{00000000-0005-0000-0000-0000AF140000}"/>
    <cellStyle name="Normal 4 3 4 2 2 2" xfId="16627" xr:uid="{D090D015-6369-4ED9-A7BC-0008C3DADD1C}"/>
    <cellStyle name="Normal 4 3 4 2 3" xfId="12410" xr:uid="{ECF11E69-AC4F-4676-A910-A9D3840180F4}"/>
    <cellStyle name="Normal 4 3 4 3" xfId="5156" xr:uid="{00000000-0005-0000-0000-0000B0140000}"/>
    <cellStyle name="Normal 4 3 4 3 2" xfId="14482" xr:uid="{2E541E24-5738-4C94-A3C6-2AF9C3991F2A}"/>
    <cellStyle name="Normal 4 3 4 4" xfId="9608" xr:uid="{C2EFFD2B-01D5-4B2B-BD85-BB4245D6A35E}"/>
    <cellStyle name="Normal 4 3 4 4 2" xfId="18909" xr:uid="{40AD679C-B79D-411B-B0F5-54164020028D}"/>
    <cellStyle name="Normal 4 3 4 5" xfId="10265" xr:uid="{FC6B1732-A504-4F31-BDE7-020332197411}"/>
    <cellStyle name="Normal 4 3 5" xfId="1262" xr:uid="{00000000-0005-0000-0000-0000B1140000}"/>
    <cellStyle name="Normal 4 3 5 2" xfId="3492" xr:uid="{00000000-0005-0000-0000-0000B2140000}"/>
    <cellStyle name="Normal 4 3 5 2 2" xfId="7714" xr:uid="{00000000-0005-0000-0000-0000B3140000}"/>
    <cellStyle name="Normal 4 3 5 2 2 2" xfId="17040" xr:uid="{6C1D7A98-A296-4AB1-BF01-026A102E201D}"/>
    <cellStyle name="Normal 4 3 5 2 3" xfId="12823" xr:uid="{55562CE2-0527-41B1-868B-18CCD800FCAE}"/>
    <cellStyle name="Normal 4 3 5 3" xfId="5569" xr:uid="{00000000-0005-0000-0000-0000B4140000}"/>
    <cellStyle name="Normal 4 3 5 3 2" xfId="14895" xr:uid="{ACA1F46F-B5E6-4470-BF1A-4487A7692014}"/>
    <cellStyle name="Normal 4 3 5 4" xfId="10678" xr:uid="{66BC55B8-BDBD-45F0-9BB7-7A9B00CACA44}"/>
    <cellStyle name="Normal 4 3 6" xfId="1675" xr:uid="{00000000-0005-0000-0000-0000B5140000}"/>
    <cellStyle name="Normal 4 3 6 2" xfId="3905" xr:uid="{00000000-0005-0000-0000-0000B6140000}"/>
    <cellStyle name="Normal 4 3 6 2 2" xfId="8127" xr:uid="{00000000-0005-0000-0000-0000B7140000}"/>
    <cellStyle name="Normal 4 3 6 2 2 2" xfId="17453" xr:uid="{3E410A3C-35F4-4481-8122-54368AD06451}"/>
    <cellStyle name="Normal 4 3 6 2 3" xfId="13236" xr:uid="{7A5ECE52-DDE0-41C9-8B40-7D9357DE42D8}"/>
    <cellStyle name="Normal 4 3 6 3" xfId="5982" xr:uid="{00000000-0005-0000-0000-0000B8140000}"/>
    <cellStyle name="Normal 4 3 6 3 2" xfId="15308" xr:uid="{BAEBCCD1-E108-46B8-9693-99008BEC2435}"/>
    <cellStyle name="Normal 4 3 6 4" xfId="11091" xr:uid="{6F1A392A-BA39-4742-BE79-CFFA701FAA8F}"/>
    <cellStyle name="Normal 4 3 7" xfId="2089" xr:uid="{00000000-0005-0000-0000-0000B9140000}"/>
    <cellStyle name="Normal 4 3 7 2" xfId="4318" xr:uid="{00000000-0005-0000-0000-0000BA140000}"/>
    <cellStyle name="Normal 4 3 7 2 2" xfId="8540" xr:uid="{00000000-0005-0000-0000-0000BB140000}"/>
    <cellStyle name="Normal 4 3 7 2 2 2" xfId="17866" xr:uid="{5E70FB17-E254-4EF9-804A-3D6CADE65529}"/>
    <cellStyle name="Normal 4 3 7 2 3" xfId="13649" xr:uid="{80512DBC-7445-44CF-AF5A-316CE5E866BB}"/>
    <cellStyle name="Normal 4 3 7 3" xfId="6395" xr:uid="{00000000-0005-0000-0000-0000BC140000}"/>
    <cellStyle name="Normal 4 3 7 3 2" xfId="15721" xr:uid="{A1D378B6-66DF-4F77-8EA7-770C2D6F12FB}"/>
    <cellStyle name="Normal 4 3 7 4" xfId="11504" xr:uid="{3435E763-4965-4F11-890F-E89F9D4427E9}"/>
    <cellStyle name="Normal 4 3 8" xfId="2525" xr:uid="{00000000-0005-0000-0000-0000BD140000}"/>
    <cellStyle name="Normal 4 3 8 2" xfId="6808" xr:uid="{00000000-0005-0000-0000-0000BE140000}"/>
    <cellStyle name="Normal 4 3 8 2 2" xfId="16134" xr:uid="{953DE268-472D-4353-9A25-8807815B2796}"/>
    <cellStyle name="Normal 4 3 8 3" xfId="11917" xr:uid="{EE7AB9D6-FBBD-4EED-8F44-2664DF76A118}"/>
    <cellStyle name="Normal 4 3 9" xfId="4743" xr:uid="{00000000-0005-0000-0000-0000BF140000}"/>
    <cellStyle name="Normal 4 3 9 2" xfId="14069" xr:uid="{6482C49F-9CB4-4925-9AF3-FC22593F670A}"/>
    <cellStyle name="Normal 4 4" xfId="378" xr:uid="{00000000-0005-0000-0000-0000C0140000}"/>
    <cellStyle name="Normal 4 4 10" xfId="2534" xr:uid="{00000000-0005-0000-0000-0000C1140000}"/>
    <cellStyle name="Normal 4 4 10 2" xfId="6817" xr:uid="{00000000-0005-0000-0000-0000C2140000}"/>
    <cellStyle name="Normal 4 4 10 2 2" xfId="16143" xr:uid="{CAA49C52-0C79-4247-8545-11A26AA2FC17}"/>
    <cellStyle name="Normal 4 4 10 3" xfId="11926" xr:uid="{456B4703-4B02-4489-940A-C97894354A67}"/>
    <cellStyle name="Normal 4 4 11" xfId="4752" xr:uid="{00000000-0005-0000-0000-0000C3140000}"/>
    <cellStyle name="Normal 4 4 11 2" xfId="14078" xr:uid="{319CA23E-2C7B-46B6-BCC9-222B65360FA9}"/>
    <cellStyle name="Normal 4 4 12" xfId="8749" xr:uid="{A91736B6-873D-4B1A-8B29-18DC69E5E65F}"/>
    <cellStyle name="Normal 4 4 12 2" xfId="18073" xr:uid="{7100B934-09D7-454D-A768-B7C63B9204D9}"/>
    <cellStyle name="Normal 4 4 13" xfId="9861" xr:uid="{771D90D3-FDF0-4B25-9674-D83780061783}"/>
    <cellStyle name="Normal 4 4 2" xfId="379" xr:uid="{00000000-0005-0000-0000-0000C4140000}"/>
    <cellStyle name="Normal 4 4 2 10" xfId="4753" xr:uid="{00000000-0005-0000-0000-0000C5140000}"/>
    <cellStyle name="Normal 4 4 2 10 2" xfId="14079" xr:uid="{EFD00D1D-A5EA-4658-86D4-46C72B9344D0}"/>
    <cellStyle name="Normal 4 4 2 11" xfId="8781" xr:uid="{12B8F0AD-1EB8-4D0A-9CAD-21DEEFEDAE41}"/>
    <cellStyle name="Normal 4 4 2 11 2" xfId="18105" xr:uid="{F33EEB58-CF25-4F21-A40B-EDB8DBC1F45B}"/>
    <cellStyle name="Normal 4 4 2 12" xfId="9862" xr:uid="{EABB869F-4420-47BA-86EF-F5D4271ED776}"/>
    <cellStyle name="Normal 4 4 2 2" xfId="380" xr:uid="{00000000-0005-0000-0000-0000C6140000}"/>
    <cellStyle name="Normal 4 4 2 2 10" xfId="8824" xr:uid="{FF218EA8-00A9-476B-AA88-FBBBBED2D06B}"/>
    <cellStyle name="Normal 4 4 2 2 10 2" xfId="18148" xr:uid="{F3D69306-657A-4009-953C-59CFA3A19944}"/>
    <cellStyle name="Normal 4 4 2 2 11" xfId="9863" xr:uid="{6A890F1E-D2A9-4D89-A9C6-4BEBA97C4DFC}"/>
    <cellStyle name="Normal 4 4 2 2 2" xfId="381" xr:uid="{00000000-0005-0000-0000-0000C7140000}"/>
    <cellStyle name="Normal 4 4 2 2 2 10" xfId="9864" xr:uid="{C204FBD8-BF52-4EA7-84A3-EB71F2668A68}"/>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CD86F3F2-2743-4C39-9C1C-A482D74AE77F}"/>
    <cellStyle name="Normal 4 4 2 2 2 2 2 2 3" xfId="12423" xr:uid="{772D3D7F-0EDE-4A8E-A897-242977D05B83}"/>
    <cellStyle name="Normal 4 4 2 2 2 2 2 3" xfId="5169" xr:uid="{00000000-0005-0000-0000-0000CC140000}"/>
    <cellStyle name="Normal 4 4 2 2 2 2 2 3 2" xfId="14495" xr:uid="{76E0EE4C-7BB1-447B-9063-A7AA612E8D5F}"/>
    <cellStyle name="Normal 4 4 2 2 2 2 2 4" xfId="9559" xr:uid="{6E5E886C-D83F-47E6-AD2B-552CC2A98FD0}"/>
    <cellStyle name="Normal 4 4 2 2 2 2 2 4 2" xfId="18874" xr:uid="{5CA89192-7A43-4CAD-9D64-A982CB2C5699}"/>
    <cellStyle name="Normal 4 4 2 2 2 2 2 5" xfId="10278" xr:uid="{EC6AB68F-8ED6-485F-8AB4-FF540249543F}"/>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B3A61C7F-1E9C-49F7-A99F-BF6884725AAF}"/>
    <cellStyle name="Normal 4 4 2 2 2 2 3 2 3" xfId="12836" xr:uid="{870EB7FA-C32D-4BF1-B19F-BD119A4942D8}"/>
    <cellStyle name="Normal 4 4 2 2 2 2 3 3" xfId="5582" xr:uid="{00000000-0005-0000-0000-0000D0140000}"/>
    <cellStyle name="Normal 4 4 2 2 2 2 3 3 2" xfId="14908" xr:uid="{A876A1CC-5D3A-43A5-8183-62987460FC8C}"/>
    <cellStyle name="Normal 4 4 2 2 2 2 3 4" xfId="10691" xr:uid="{42EC4531-5E4C-4B3D-8712-0960173688A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DBEC7161-C4AD-4946-AAC3-98513801D7B7}"/>
    <cellStyle name="Normal 4 4 2 2 2 2 4 2 3" xfId="13249" xr:uid="{171AFB19-B1BB-4BD7-8824-F1E65B094723}"/>
    <cellStyle name="Normal 4 4 2 2 2 2 4 3" xfId="5995" xr:uid="{00000000-0005-0000-0000-0000D4140000}"/>
    <cellStyle name="Normal 4 4 2 2 2 2 4 3 2" xfId="15321" xr:uid="{4D54C026-091A-4098-8392-B6D6326D161F}"/>
    <cellStyle name="Normal 4 4 2 2 2 2 4 4" xfId="11104" xr:uid="{9F06DF99-5BAC-47F4-B99F-50B00DB237C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0E4606AD-E31F-4435-B34D-FF3A2EE3D7D3}"/>
    <cellStyle name="Normal 4 4 2 2 2 2 5 2 3" xfId="13662" xr:uid="{A1EE593B-DDA1-4229-881D-E281906D5BBB}"/>
    <cellStyle name="Normal 4 4 2 2 2 2 5 3" xfId="6408" xr:uid="{00000000-0005-0000-0000-0000D8140000}"/>
    <cellStyle name="Normal 4 4 2 2 2 2 5 3 2" xfId="15734" xr:uid="{7B4564E3-68BC-4A0E-B044-5C25212722CC}"/>
    <cellStyle name="Normal 4 4 2 2 2 2 5 4" xfId="11517" xr:uid="{3686A13C-225A-4EB4-B040-0276AB83CD51}"/>
    <cellStyle name="Normal 4 4 2 2 2 2 6" xfId="2538" xr:uid="{00000000-0005-0000-0000-0000D9140000}"/>
    <cellStyle name="Normal 4 4 2 2 2 2 6 2" xfId="6821" xr:uid="{00000000-0005-0000-0000-0000DA140000}"/>
    <cellStyle name="Normal 4 4 2 2 2 2 6 2 2" xfId="16147" xr:uid="{9C39E82A-BB38-45FE-90C8-8D9B7BAB1BF0}"/>
    <cellStyle name="Normal 4 4 2 2 2 2 6 3" xfId="11930" xr:uid="{1340B023-D2EB-4BD3-B7FD-2DDE6F17D494}"/>
    <cellStyle name="Normal 4 4 2 2 2 2 7" xfId="4756" xr:uid="{00000000-0005-0000-0000-0000DB140000}"/>
    <cellStyle name="Normal 4 4 2 2 2 2 7 2" xfId="14082" xr:uid="{E6F48375-AFE7-4056-96E1-0EA99590110A}"/>
    <cellStyle name="Normal 4 4 2 2 2 2 8" xfId="9134" xr:uid="{B37D4C66-6754-4A5E-BFF7-77694E4355C2}"/>
    <cellStyle name="Normal 4 4 2 2 2 2 8 2" xfId="18458" xr:uid="{E73AAEF7-971F-4C8D-8BF9-8005BAE7618C}"/>
    <cellStyle name="Normal 4 4 2 2 2 2 9" xfId="9865" xr:uid="{1C5C5497-F656-462F-A48F-A7A9D7E5351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BAD40156-535D-4DBA-A230-E1092D54127A}"/>
    <cellStyle name="Normal 4 4 2 2 2 3 2 3" xfId="12422" xr:uid="{AFE5447A-3D65-48AC-9AAD-DA5A3FE58876}"/>
    <cellStyle name="Normal 4 4 2 2 2 3 3" xfId="5168" xr:uid="{00000000-0005-0000-0000-0000DF140000}"/>
    <cellStyle name="Normal 4 4 2 2 2 3 3 2" xfId="14494" xr:uid="{AEECF865-0C1E-45D6-B4CD-6C8CE8DC34C2}"/>
    <cellStyle name="Normal 4 4 2 2 2 3 4" xfId="9352" xr:uid="{76F31DA2-44D0-447F-BA9C-6271BA6AAE96}"/>
    <cellStyle name="Normal 4 4 2 2 2 3 4 2" xfId="18667" xr:uid="{200C965A-C21E-4EB6-ACF8-FBA953D6A362}"/>
    <cellStyle name="Normal 4 4 2 2 2 3 5" xfId="10277" xr:uid="{874CFB81-F42D-4846-B919-0B1A82CF360A}"/>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0DD28882-A475-499D-9127-4BBEEC623D2F}"/>
    <cellStyle name="Normal 4 4 2 2 2 4 2 3" xfId="12835" xr:uid="{D9FE9862-5AAA-429C-B7E3-F9715B10DC5A}"/>
    <cellStyle name="Normal 4 4 2 2 2 4 3" xfId="5581" xr:uid="{00000000-0005-0000-0000-0000E3140000}"/>
    <cellStyle name="Normal 4 4 2 2 2 4 3 2" xfId="14907" xr:uid="{4AF57079-4C41-4462-9A8B-758A9CB296A6}"/>
    <cellStyle name="Normal 4 4 2 2 2 4 4" xfId="10690" xr:uid="{F8C4A97D-3547-4709-B3CA-2B5D3BAE533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DC742393-3DD8-4F71-96FC-DD8E218DF48D}"/>
    <cellStyle name="Normal 4 4 2 2 2 5 2 3" xfId="13248" xr:uid="{868ACD41-FF10-47ED-A72C-F1437982044B}"/>
    <cellStyle name="Normal 4 4 2 2 2 5 3" xfId="5994" xr:uid="{00000000-0005-0000-0000-0000E7140000}"/>
    <cellStyle name="Normal 4 4 2 2 2 5 3 2" xfId="15320" xr:uid="{BEE9E9D7-E9FD-49EA-A4F5-D7E56DAFD56B}"/>
    <cellStyle name="Normal 4 4 2 2 2 5 4" xfId="11103" xr:uid="{94B501A0-39D5-4873-94F9-ACF699C7390C}"/>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7B6139E6-22A7-484A-B920-9159BD00CA3C}"/>
    <cellStyle name="Normal 4 4 2 2 2 6 2 3" xfId="13661" xr:uid="{B097F575-34E9-4CD3-B9A1-03F568E3D7AC}"/>
    <cellStyle name="Normal 4 4 2 2 2 6 3" xfId="6407" xr:uid="{00000000-0005-0000-0000-0000EB140000}"/>
    <cellStyle name="Normal 4 4 2 2 2 6 3 2" xfId="15733" xr:uid="{A981C88E-2C1E-4ECE-913E-6B0C0C0693AA}"/>
    <cellStyle name="Normal 4 4 2 2 2 6 4" xfId="11516" xr:uid="{776EBF5C-4BC7-475E-98BF-21911920E874}"/>
    <cellStyle name="Normal 4 4 2 2 2 7" xfId="2537" xr:uid="{00000000-0005-0000-0000-0000EC140000}"/>
    <cellStyle name="Normal 4 4 2 2 2 7 2" xfId="6820" xr:uid="{00000000-0005-0000-0000-0000ED140000}"/>
    <cellStyle name="Normal 4 4 2 2 2 7 2 2" xfId="16146" xr:uid="{533DA723-4E4B-42E1-A126-873D0CB0CE5F}"/>
    <cellStyle name="Normal 4 4 2 2 2 7 3" xfId="11929" xr:uid="{A89ADC7C-55FF-493C-AD90-39F047F7908D}"/>
    <cellStyle name="Normal 4 4 2 2 2 8" xfId="4755" xr:uid="{00000000-0005-0000-0000-0000EE140000}"/>
    <cellStyle name="Normal 4 4 2 2 2 8 2" xfId="14081" xr:uid="{B038D31B-4DEF-484F-9F67-62C5D82A6762}"/>
    <cellStyle name="Normal 4 4 2 2 2 9" xfId="8927" xr:uid="{195B9197-F273-4D3B-B7A6-9CBAA360D528}"/>
    <cellStyle name="Normal 4 4 2 2 2 9 2" xfId="18251" xr:uid="{70205444-C1FD-4538-ADCB-58571CD0665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A253F446-C7B8-402F-AA7A-AE032D1B5F28}"/>
    <cellStyle name="Normal 4 4 2 2 3 2 2 3" xfId="12424" xr:uid="{6C972D4E-9CD7-4179-A6D8-0D0EA75C0593}"/>
    <cellStyle name="Normal 4 4 2 2 3 2 3" xfId="5170" xr:uid="{00000000-0005-0000-0000-0000F3140000}"/>
    <cellStyle name="Normal 4 4 2 2 3 2 3 2" xfId="14496" xr:uid="{82B6FB22-6455-4F39-9A6F-4073645BC517}"/>
    <cellStyle name="Normal 4 4 2 2 3 2 4" xfId="9456" xr:uid="{7CB0B972-68D8-4A2C-A3A7-1D2BD109E44A}"/>
    <cellStyle name="Normal 4 4 2 2 3 2 4 2" xfId="18771" xr:uid="{7F0EDC7E-BFB1-4D28-AD3F-0F8B6A7E6431}"/>
    <cellStyle name="Normal 4 4 2 2 3 2 5" xfId="10279" xr:uid="{FC26F5B6-3B66-4E46-A2B9-ECA8439D9D34}"/>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9B473062-BD69-482A-8D03-2CFFD45F5F55}"/>
    <cellStyle name="Normal 4 4 2 2 3 3 2 3" xfId="12837" xr:uid="{CE7DB2AB-F73E-455B-A6AF-76ED37864CAC}"/>
    <cellStyle name="Normal 4 4 2 2 3 3 3" xfId="5583" xr:uid="{00000000-0005-0000-0000-0000F7140000}"/>
    <cellStyle name="Normal 4 4 2 2 3 3 3 2" xfId="14909" xr:uid="{90F1EF78-5B0B-48C4-911F-BE6F036A54E2}"/>
    <cellStyle name="Normal 4 4 2 2 3 3 4" xfId="10692" xr:uid="{2148639A-3401-4A6A-BBF6-E67829216639}"/>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5D8F2CBC-7990-46B7-A5BC-403813B3009E}"/>
    <cellStyle name="Normal 4 4 2 2 3 4 2 3" xfId="13250" xr:uid="{D887D0FF-FDDB-412D-9728-6086B854E8C9}"/>
    <cellStyle name="Normal 4 4 2 2 3 4 3" xfId="5996" xr:uid="{00000000-0005-0000-0000-0000FB140000}"/>
    <cellStyle name="Normal 4 4 2 2 3 4 3 2" xfId="15322" xr:uid="{95BE28CF-1EAC-4EF9-AAC6-1232E1965BFF}"/>
    <cellStyle name="Normal 4 4 2 2 3 4 4" xfId="11105" xr:uid="{A5A407DA-49CE-4566-A83C-1EDEB9CAAA0B}"/>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3B48BFA4-845C-4A7C-A014-A2510C1713B3}"/>
    <cellStyle name="Normal 4 4 2 2 3 5 2 3" xfId="13663" xr:uid="{019D4489-F378-4200-81D1-81F81E46C362}"/>
    <cellStyle name="Normal 4 4 2 2 3 5 3" xfId="6409" xr:uid="{00000000-0005-0000-0000-0000FF140000}"/>
    <cellStyle name="Normal 4 4 2 2 3 5 3 2" xfId="15735" xr:uid="{950A0472-6B63-4DF6-97F5-CC9899FD1703}"/>
    <cellStyle name="Normal 4 4 2 2 3 5 4" xfId="11518" xr:uid="{CD14FE57-3357-4D38-B07A-CA2045D653AE}"/>
    <cellStyle name="Normal 4 4 2 2 3 6" xfId="2539" xr:uid="{00000000-0005-0000-0000-000000150000}"/>
    <cellStyle name="Normal 4 4 2 2 3 6 2" xfId="6822" xr:uid="{00000000-0005-0000-0000-000001150000}"/>
    <cellStyle name="Normal 4 4 2 2 3 6 2 2" xfId="16148" xr:uid="{DEC450FA-A8D0-48B7-BED0-ED7228E6F40C}"/>
    <cellStyle name="Normal 4 4 2 2 3 6 3" xfId="11931" xr:uid="{2049888C-66C9-4C89-9D1C-0463F427F07C}"/>
    <cellStyle name="Normal 4 4 2 2 3 7" xfId="4757" xr:uid="{00000000-0005-0000-0000-000002150000}"/>
    <cellStyle name="Normal 4 4 2 2 3 7 2" xfId="14083" xr:uid="{4972FB6D-792A-4ED9-972D-CD98A3EDDF3E}"/>
    <cellStyle name="Normal 4 4 2 2 3 8" xfId="9031" xr:uid="{F1B59444-328A-4279-8A0A-A9F7E26061D5}"/>
    <cellStyle name="Normal 4 4 2 2 3 8 2" xfId="18355" xr:uid="{3FB3D00A-7E1A-4A60-9D7F-CB9904C0BD6F}"/>
    <cellStyle name="Normal 4 4 2 2 3 9" xfId="9866" xr:uid="{2E33B029-8DAC-469A-A2A3-FB396B9787AB}"/>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64283507-7DC7-4424-B4A2-84AE8BD3B121}"/>
    <cellStyle name="Normal 4 4 2 2 4 2 3" xfId="12421" xr:uid="{7AABFBBC-4F8A-466A-BBD8-EBBD4BA4C9FA}"/>
    <cellStyle name="Normal 4 4 2 2 4 3" xfId="5167" xr:uid="{00000000-0005-0000-0000-000006150000}"/>
    <cellStyle name="Normal 4 4 2 2 4 3 2" xfId="14493" xr:uid="{F763F3F5-86C4-42F2-914C-C08F28E586EE}"/>
    <cellStyle name="Normal 4 4 2 2 4 4" xfId="9249" xr:uid="{7E4CA7C7-738D-4CFA-907A-40590344548A}"/>
    <cellStyle name="Normal 4 4 2 2 4 4 2" xfId="18564" xr:uid="{60C2B203-F5C9-498A-9A65-AF775F5BC3A7}"/>
    <cellStyle name="Normal 4 4 2 2 4 5" xfId="10276" xr:uid="{8F0EA54F-6D6D-46AA-A126-14E30E6DACE5}"/>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9C09F543-4A2E-46CF-A563-CD7C29724677}"/>
    <cellStyle name="Normal 4 4 2 2 5 2 3" xfId="12834" xr:uid="{C9144347-29D4-4A4D-B84D-7536B5C94AC6}"/>
    <cellStyle name="Normal 4 4 2 2 5 3" xfId="5580" xr:uid="{00000000-0005-0000-0000-00000A150000}"/>
    <cellStyle name="Normal 4 4 2 2 5 3 2" xfId="14906" xr:uid="{038DF5AA-7CF2-43E5-BAA5-7A173CA037C4}"/>
    <cellStyle name="Normal 4 4 2 2 5 4" xfId="10689" xr:uid="{6794803D-AAD2-4C0A-ABD3-496C7633CC7A}"/>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708F4118-66EB-4FA6-8738-5F3B035759B3}"/>
    <cellStyle name="Normal 4 4 2 2 6 2 3" xfId="13247" xr:uid="{AD8BF562-F665-4EB6-8C31-AEF2CF0E6EC6}"/>
    <cellStyle name="Normal 4 4 2 2 6 3" xfId="5993" xr:uid="{00000000-0005-0000-0000-00000E150000}"/>
    <cellStyle name="Normal 4 4 2 2 6 3 2" xfId="15319" xr:uid="{27D0B302-E1C2-4A48-91BD-D9B1C809514B}"/>
    <cellStyle name="Normal 4 4 2 2 6 4" xfId="11102" xr:uid="{C1D274C4-551F-4E59-902F-1CF1B802F80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32618E06-91B6-42DF-A05B-A255B275EBCB}"/>
    <cellStyle name="Normal 4 4 2 2 7 2 3" xfId="13660" xr:uid="{76B029C1-4CDA-4156-96E8-9200CD4100AF}"/>
    <cellStyle name="Normal 4 4 2 2 7 3" xfId="6406" xr:uid="{00000000-0005-0000-0000-000012150000}"/>
    <cellStyle name="Normal 4 4 2 2 7 3 2" xfId="15732" xr:uid="{03583000-D0C8-4082-A955-B9ABB5FA773C}"/>
    <cellStyle name="Normal 4 4 2 2 7 4" xfId="11515" xr:uid="{EC46152F-9AC4-41CA-A105-4439C8B9BD38}"/>
    <cellStyle name="Normal 4 4 2 2 8" xfId="2536" xr:uid="{00000000-0005-0000-0000-000013150000}"/>
    <cellStyle name="Normal 4 4 2 2 8 2" xfId="6819" xr:uid="{00000000-0005-0000-0000-000014150000}"/>
    <cellStyle name="Normal 4 4 2 2 8 2 2" xfId="16145" xr:uid="{ACAD27D7-A817-45A5-AEFB-2B867C4AF5AE}"/>
    <cellStyle name="Normal 4 4 2 2 8 3" xfId="11928" xr:uid="{D59F20A7-1E5A-405B-9F7A-429AAFED5BE7}"/>
    <cellStyle name="Normal 4 4 2 2 9" xfId="4754" xr:uid="{00000000-0005-0000-0000-000015150000}"/>
    <cellStyle name="Normal 4 4 2 2 9 2" xfId="14080" xr:uid="{0BCAE4DC-2CA3-40BA-8E38-7708659099C1}"/>
    <cellStyle name="Normal 4 4 2 3" xfId="384" xr:uid="{00000000-0005-0000-0000-000016150000}"/>
    <cellStyle name="Normal 4 4 2 3 10" xfId="9867" xr:uid="{1226292F-227A-441C-A18E-811DA66AD9D5}"/>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91A02BDE-41D7-4C90-93A2-95C7956570A5}"/>
    <cellStyle name="Normal 4 4 2 3 2 2 2 3" xfId="12426" xr:uid="{9C05A3F7-FD03-49F7-BFF7-F5BCD857FCE7}"/>
    <cellStyle name="Normal 4 4 2 3 2 2 3" xfId="5172" xr:uid="{00000000-0005-0000-0000-00001B150000}"/>
    <cellStyle name="Normal 4 4 2 3 2 2 3 2" xfId="14498" xr:uid="{3FC10CCA-1E3F-4C84-BCC4-9EA435EFB3BB}"/>
    <cellStyle name="Normal 4 4 2 3 2 2 4" xfId="9516" xr:uid="{93008D3B-5827-4778-B167-5B518B5BF56F}"/>
    <cellStyle name="Normal 4 4 2 3 2 2 4 2" xfId="18831" xr:uid="{5EAE09F7-70FE-4A80-A815-E2D27DB672B2}"/>
    <cellStyle name="Normal 4 4 2 3 2 2 5" xfId="10281" xr:uid="{F8B682FC-5038-477B-BFE7-DF5D53D36A34}"/>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D0F25885-BD0C-4165-B9D7-4F2A7F2E6031}"/>
    <cellStyle name="Normal 4 4 2 3 2 3 2 3" xfId="12839" xr:uid="{3A99E284-7438-4C7B-88BF-EA51E19E31F8}"/>
    <cellStyle name="Normal 4 4 2 3 2 3 3" xfId="5585" xr:uid="{00000000-0005-0000-0000-00001F150000}"/>
    <cellStyle name="Normal 4 4 2 3 2 3 3 2" xfId="14911" xr:uid="{D464C123-C586-4165-9505-FB2F746CB414}"/>
    <cellStyle name="Normal 4 4 2 3 2 3 4" xfId="10694" xr:uid="{66968EB5-4215-475C-AE95-D093D5C102F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67095EF0-FB0D-412A-AAA8-B7C2A1D70E27}"/>
    <cellStyle name="Normal 4 4 2 3 2 4 2 3" xfId="13252" xr:uid="{6DCBB204-2DA4-44D8-A733-838AE8C080ED}"/>
    <cellStyle name="Normal 4 4 2 3 2 4 3" xfId="5998" xr:uid="{00000000-0005-0000-0000-000023150000}"/>
    <cellStyle name="Normal 4 4 2 3 2 4 3 2" xfId="15324" xr:uid="{360713E2-607E-4757-B71E-52FC795755A8}"/>
    <cellStyle name="Normal 4 4 2 3 2 4 4" xfId="11107" xr:uid="{88317FAE-3884-4A2B-81EF-F897CD88884C}"/>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9500A984-A9F0-4A6F-A5F9-6EA2CD67B7E8}"/>
    <cellStyle name="Normal 4 4 2 3 2 5 2 3" xfId="13665" xr:uid="{8C5E6793-14DD-49DB-9708-F5935C311220}"/>
    <cellStyle name="Normal 4 4 2 3 2 5 3" xfId="6411" xr:uid="{00000000-0005-0000-0000-000027150000}"/>
    <cellStyle name="Normal 4 4 2 3 2 5 3 2" xfId="15737" xr:uid="{CC997D61-9DAD-4B95-82EA-13DA7DCCCB5B}"/>
    <cellStyle name="Normal 4 4 2 3 2 5 4" xfId="11520" xr:uid="{85608660-05AD-4539-938C-584BCAB8BAF8}"/>
    <cellStyle name="Normal 4 4 2 3 2 6" xfId="2541" xr:uid="{00000000-0005-0000-0000-000028150000}"/>
    <cellStyle name="Normal 4 4 2 3 2 6 2" xfId="6824" xr:uid="{00000000-0005-0000-0000-000029150000}"/>
    <cellStyle name="Normal 4 4 2 3 2 6 2 2" xfId="16150" xr:uid="{279AF3F0-5DC6-46D4-8AA4-3320221AABFD}"/>
    <cellStyle name="Normal 4 4 2 3 2 6 3" xfId="11933" xr:uid="{9D47D04D-C370-4302-BB8C-4BF0EB206A10}"/>
    <cellStyle name="Normal 4 4 2 3 2 7" xfId="4759" xr:uid="{00000000-0005-0000-0000-00002A150000}"/>
    <cellStyle name="Normal 4 4 2 3 2 7 2" xfId="14085" xr:uid="{5F4F9AAA-6BB2-428A-9F6D-72F4334AB0D0}"/>
    <cellStyle name="Normal 4 4 2 3 2 8" xfId="9091" xr:uid="{9DBAED0A-05EE-4674-B1B7-8D03DBB53301}"/>
    <cellStyle name="Normal 4 4 2 3 2 8 2" xfId="18415" xr:uid="{ECAC8290-D8C5-46E2-BD19-74A9E6DA0BFB}"/>
    <cellStyle name="Normal 4 4 2 3 2 9" xfId="9868" xr:uid="{136E82AF-6274-4A01-9209-0D7C60587070}"/>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FB21D543-C2AE-4474-BD89-DDF04DD60B28}"/>
    <cellStyle name="Normal 4 4 2 3 3 2 3" xfId="12425" xr:uid="{B4B817D1-F6AC-4DB5-8749-4EB5DF01CDDB}"/>
    <cellStyle name="Normal 4 4 2 3 3 3" xfId="5171" xr:uid="{00000000-0005-0000-0000-00002E150000}"/>
    <cellStyle name="Normal 4 4 2 3 3 3 2" xfId="14497" xr:uid="{1DD90106-AC06-4D29-B7EC-B5EC078A9725}"/>
    <cellStyle name="Normal 4 4 2 3 3 4" xfId="9309" xr:uid="{73E912F6-92AF-449E-AE53-1DEDEF686C0F}"/>
    <cellStyle name="Normal 4 4 2 3 3 4 2" xfId="18624" xr:uid="{872383C4-6723-4312-A9BD-3BE54EEEA2F1}"/>
    <cellStyle name="Normal 4 4 2 3 3 5" xfId="10280" xr:uid="{81E1FEC3-F157-4F4D-8A83-A79496684D3B}"/>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03F561D4-8DCB-4762-A521-55CEDC42A4C3}"/>
    <cellStyle name="Normal 4 4 2 3 4 2 3" xfId="12838" xr:uid="{4EB554DA-576D-4953-8A4E-5D682278D97C}"/>
    <cellStyle name="Normal 4 4 2 3 4 3" xfId="5584" xr:uid="{00000000-0005-0000-0000-000032150000}"/>
    <cellStyle name="Normal 4 4 2 3 4 3 2" xfId="14910" xr:uid="{50C554AA-44FE-4242-B7B4-C652D641ED7B}"/>
    <cellStyle name="Normal 4 4 2 3 4 4" xfId="10693" xr:uid="{798CA73F-FC65-4CE3-9EBB-76BAA8349F03}"/>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F0611E80-124A-4E5B-899B-27DE7B4F805A}"/>
    <cellStyle name="Normal 4 4 2 3 5 2 3" xfId="13251" xr:uid="{57C1C76B-79AF-4510-AF48-8FC54F8AAE8C}"/>
    <cellStyle name="Normal 4 4 2 3 5 3" xfId="5997" xr:uid="{00000000-0005-0000-0000-000036150000}"/>
    <cellStyle name="Normal 4 4 2 3 5 3 2" xfId="15323" xr:uid="{07DB9F80-2DBD-492F-BE13-86D202C6AB22}"/>
    <cellStyle name="Normal 4 4 2 3 5 4" xfId="11106" xr:uid="{625335C1-C1F3-49B9-8509-0AAD9E57663A}"/>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ABC8E9D1-D8EA-4F65-9DEF-5CBC6C886985}"/>
    <cellStyle name="Normal 4 4 2 3 6 2 3" xfId="13664" xr:uid="{6E5CDD38-9C83-4D5D-85C8-E3847C1D14A4}"/>
    <cellStyle name="Normal 4 4 2 3 6 3" xfId="6410" xr:uid="{00000000-0005-0000-0000-00003A150000}"/>
    <cellStyle name="Normal 4 4 2 3 6 3 2" xfId="15736" xr:uid="{582BB644-4527-4450-89C5-A296FCD60DB0}"/>
    <cellStyle name="Normal 4 4 2 3 6 4" xfId="11519" xr:uid="{A1A3EAC3-D255-4A89-AF41-1FE6FCF22D6E}"/>
    <cellStyle name="Normal 4 4 2 3 7" xfId="2540" xr:uid="{00000000-0005-0000-0000-00003B150000}"/>
    <cellStyle name="Normal 4 4 2 3 7 2" xfId="6823" xr:uid="{00000000-0005-0000-0000-00003C150000}"/>
    <cellStyle name="Normal 4 4 2 3 7 2 2" xfId="16149" xr:uid="{16E0430F-3429-4474-8BAB-E0DFA0046C0C}"/>
    <cellStyle name="Normal 4 4 2 3 7 3" xfId="11932" xr:uid="{198A9C62-F552-4ADA-B014-447213EC1125}"/>
    <cellStyle name="Normal 4 4 2 3 8" xfId="4758" xr:uid="{00000000-0005-0000-0000-00003D150000}"/>
    <cellStyle name="Normal 4 4 2 3 8 2" xfId="14084" xr:uid="{BB18D69F-9861-4E16-A6C3-B8619870AFE0}"/>
    <cellStyle name="Normal 4 4 2 3 9" xfId="8884" xr:uid="{CBA8CCC0-D2E2-46C8-AC83-39734599F615}"/>
    <cellStyle name="Normal 4 4 2 3 9 2" xfId="18208" xr:uid="{D5A64D36-B24A-4A49-878B-9D41A07D9C9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B36D7D43-FD01-4337-87F5-721A740E79B0}"/>
    <cellStyle name="Normal 4 4 2 4 2 2 3" xfId="12427" xr:uid="{5A4C6F1F-8C67-4CE6-A8D4-A9BDBD892A97}"/>
    <cellStyle name="Normal 4 4 2 4 2 3" xfId="5173" xr:uid="{00000000-0005-0000-0000-000042150000}"/>
    <cellStyle name="Normal 4 4 2 4 2 3 2" xfId="14499" xr:uid="{E12B7EEF-4D1D-4E0D-A884-B296718E3F16}"/>
    <cellStyle name="Normal 4 4 2 4 2 4" xfId="9413" xr:uid="{4DC092EA-7C69-4E02-9FE8-33F62D070F54}"/>
    <cellStyle name="Normal 4 4 2 4 2 4 2" xfId="18728" xr:uid="{4F45E4E1-FDDF-498D-B1E6-DCAD9D321656}"/>
    <cellStyle name="Normal 4 4 2 4 2 5" xfId="10282" xr:uid="{002DF096-5376-4A40-8D69-D32B406366C2}"/>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A2A26D1F-9394-4E30-8003-4D6654D8D63F}"/>
    <cellStyle name="Normal 4 4 2 4 3 2 3" xfId="12840" xr:uid="{3B9088B0-B55B-44F5-B6DB-61ADB4C6C1F8}"/>
    <cellStyle name="Normal 4 4 2 4 3 3" xfId="5586" xr:uid="{00000000-0005-0000-0000-000046150000}"/>
    <cellStyle name="Normal 4 4 2 4 3 3 2" xfId="14912" xr:uid="{7821D873-4ED8-46C7-AE72-9C3CE0B65D65}"/>
    <cellStyle name="Normal 4 4 2 4 3 4" xfId="10695" xr:uid="{C8ADB879-1DA1-4F1E-84DF-64F00FB3B91D}"/>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BE24B05E-02AB-4719-985C-693E66E920FA}"/>
    <cellStyle name="Normal 4 4 2 4 4 2 3" xfId="13253" xr:uid="{6345DCFC-E972-4EFE-BDAE-04AC9173A8FE}"/>
    <cellStyle name="Normal 4 4 2 4 4 3" xfId="5999" xr:uid="{00000000-0005-0000-0000-00004A150000}"/>
    <cellStyle name="Normal 4 4 2 4 4 3 2" xfId="15325" xr:uid="{B8FAD7F9-644F-480A-90A3-C2B4E964D15C}"/>
    <cellStyle name="Normal 4 4 2 4 4 4" xfId="11108" xr:uid="{65B49000-9AF5-4FE0-8427-9AC94E11888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4EF5C483-8C27-4259-942E-0E6B7A3F3BF7}"/>
    <cellStyle name="Normal 4 4 2 4 5 2 3" xfId="13666" xr:uid="{A4682B8D-456D-4041-A416-76B27D544586}"/>
    <cellStyle name="Normal 4 4 2 4 5 3" xfId="6412" xr:uid="{00000000-0005-0000-0000-00004E150000}"/>
    <cellStyle name="Normal 4 4 2 4 5 3 2" xfId="15738" xr:uid="{981E2A8C-05BA-4B54-80DF-6F406AB06D93}"/>
    <cellStyle name="Normal 4 4 2 4 5 4" xfId="11521" xr:uid="{F53ED96E-E71F-4541-941D-E94A13008015}"/>
    <cellStyle name="Normal 4 4 2 4 6" xfId="2542" xr:uid="{00000000-0005-0000-0000-00004F150000}"/>
    <cellStyle name="Normal 4 4 2 4 6 2" xfId="6825" xr:uid="{00000000-0005-0000-0000-000050150000}"/>
    <cellStyle name="Normal 4 4 2 4 6 2 2" xfId="16151" xr:uid="{5241F8BD-79B4-4D16-B9DA-DFD0F6819914}"/>
    <cellStyle name="Normal 4 4 2 4 6 3" xfId="11934" xr:uid="{50520192-7D16-4D60-BD9D-31996D9E1E48}"/>
    <cellStyle name="Normal 4 4 2 4 7" xfId="4760" xr:uid="{00000000-0005-0000-0000-000051150000}"/>
    <cellStyle name="Normal 4 4 2 4 7 2" xfId="14086" xr:uid="{9322A1E1-FD42-4A7C-9B49-BC3CEBC8FAE4}"/>
    <cellStyle name="Normal 4 4 2 4 8" xfId="8988" xr:uid="{F852E7B0-7ACD-4401-B3B6-BE989A5C8AD5}"/>
    <cellStyle name="Normal 4 4 2 4 8 2" xfId="18312" xr:uid="{C93039F4-44F3-4FCB-8CCB-B49EEE3BC1D5}"/>
    <cellStyle name="Normal 4 4 2 4 9" xfId="9869" xr:uid="{5B650395-443A-43F3-8E12-6B4B8613EC02}"/>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C8FF80D6-5D32-4E60-9BAC-756ADBCED857}"/>
    <cellStyle name="Normal 4 4 2 5 2 3" xfId="12420" xr:uid="{8DD2D539-D8DC-4CF8-99FA-D574D7ABC040}"/>
    <cellStyle name="Normal 4 4 2 5 3" xfId="5166" xr:uid="{00000000-0005-0000-0000-000055150000}"/>
    <cellStyle name="Normal 4 4 2 5 3 2" xfId="14492" xr:uid="{D9A6D10E-026B-415E-BD4C-E6A64408828F}"/>
    <cellStyle name="Normal 4 4 2 5 4" xfId="9205" xr:uid="{A63DE01D-3EC8-40FC-A47E-E0EA001EED52}"/>
    <cellStyle name="Normal 4 4 2 5 4 2" xfId="18521" xr:uid="{D8E936BC-4037-4DDA-92FC-F12911F426CF}"/>
    <cellStyle name="Normal 4 4 2 5 5" xfId="10275" xr:uid="{CBAA4698-5879-43EC-9692-77AB35E3F46D}"/>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079FBC64-5D9D-46CA-8AD5-E25C8FA4C6A6}"/>
    <cellStyle name="Normal 4 4 2 6 2 3" xfId="12833" xr:uid="{84BF97BC-0564-4A73-ADAE-A0B93DA60A96}"/>
    <cellStyle name="Normal 4 4 2 6 3" xfId="5579" xr:uid="{00000000-0005-0000-0000-000059150000}"/>
    <cellStyle name="Normal 4 4 2 6 3 2" xfId="14905" xr:uid="{CF2E03D0-74D1-457B-AA47-D55CABADB049}"/>
    <cellStyle name="Normal 4 4 2 6 4" xfId="10688" xr:uid="{EE5ECACE-0C59-4624-8BAD-F8D24BB05029}"/>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EA129D62-413C-4DA3-B8BE-E50A06B67527}"/>
    <cellStyle name="Normal 4 4 2 7 2 3" xfId="13246" xr:uid="{D116D32A-B653-4C49-8A86-4AF7E98BF303}"/>
    <cellStyle name="Normal 4 4 2 7 3" xfId="5992" xr:uid="{00000000-0005-0000-0000-00005D150000}"/>
    <cellStyle name="Normal 4 4 2 7 3 2" xfId="15318" xr:uid="{79E83416-1712-44B9-BDA6-D44CBB1FD963}"/>
    <cellStyle name="Normal 4 4 2 7 4" xfId="11101" xr:uid="{8715B5F6-F994-4A6A-88CA-A44C4DBE69BD}"/>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15D632DA-3061-480A-965F-C4E7EC2B74DB}"/>
    <cellStyle name="Normal 4 4 2 8 2 3" xfId="13659" xr:uid="{3F0D4248-7818-40A6-A4E6-8BB5BA965474}"/>
    <cellStyle name="Normal 4 4 2 8 3" xfId="6405" xr:uid="{00000000-0005-0000-0000-000061150000}"/>
    <cellStyle name="Normal 4 4 2 8 3 2" xfId="15731" xr:uid="{B8615D75-AE98-4A7E-805F-599F82BA888A}"/>
    <cellStyle name="Normal 4 4 2 8 4" xfId="11514" xr:uid="{8A2D800F-8BD7-4567-AAFF-492907E86F4C}"/>
    <cellStyle name="Normal 4 4 2 9" xfId="2535" xr:uid="{00000000-0005-0000-0000-000062150000}"/>
    <cellStyle name="Normal 4 4 2 9 2" xfId="6818" xr:uid="{00000000-0005-0000-0000-000063150000}"/>
    <cellStyle name="Normal 4 4 2 9 2 2" xfId="16144" xr:uid="{18BFAB4D-FC3F-4E92-B46C-59753C61A889}"/>
    <cellStyle name="Normal 4 4 2 9 3" xfId="11927" xr:uid="{EA8EE2F4-E9FF-4BD1-B165-AF6C7832F7B4}"/>
    <cellStyle name="Normal 4 4 3" xfId="387" xr:uid="{00000000-0005-0000-0000-000064150000}"/>
    <cellStyle name="Normal 4 4 3 10" xfId="8823" xr:uid="{E623F102-F69B-4FD0-BEDA-A1480AF4D892}"/>
    <cellStyle name="Normal 4 4 3 10 2" xfId="18147" xr:uid="{83052141-6275-43C5-A613-73CA84175DEF}"/>
    <cellStyle name="Normal 4 4 3 11" xfId="9870" xr:uid="{9B0F6DAC-2394-406D-908C-ACDBA18B2106}"/>
    <cellStyle name="Normal 4 4 3 2" xfId="388" xr:uid="{00000000-0005-0000-0000-000065150000}"/>
    <cellStyle name="Normal 4 4 3 2 10" xfId="9871" xr:uid="{5D9D653E-BFB9-4A5D-8318-887B542F2E79}"/>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36B6FA70-6DEF-44B1-AEAC-FFDB31874FBA}"/>
    <cellStyle name="Normal 4 4 3 2 2 2 2 3" xfId="12430" xr:uid="{07010876-3406-444B-A2B7-79CE03DA0548}"/>
    <cellStyle name="Normal 4 4 3 2 2 2 3" xfId="5176" xr:uid="{00000000-0005-0000-0000-00006A150000}"/>
    <cellStyle name="Normal 4 4 3 2 2 2 3 2" xfId="14502" xr:uid="{B0BA74D8-1CC0-45BD-A99C-C7CAABE030A5}"/>
    <cellStyle name="Normal 4 4 3 2 2 2 4" xfId="9558" xr:uid="{8C9519E6-5920-473D-9749-EC61E4877632}"/>
    <cellStyle name="Normal 4 4 3 2 2 2 4 2" xfId="18873" xr:uid="{21DB10F5-6B84-49E9-B5B4-795E12125255}"/>
    <cellStyle name="Normal 4 4 3 2 2 2 5" xfId="10285" xr:uid="{5049675E-F5AF-456A-A858-6CA4239EDF6C}"/>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A6C44F06-EF98-457A-8CF1-07E1B9CFA4CF}"/>
    <cellStyle name="Normal 4 4 3 2 2 3 2 3" xfId="12843" xr:uid="{862DEE9A-3DE0-46BC-B0BA-7F8A03547847}"/>
    <cellStyle name="Normal 4 4 3 2 2 3 3" xfId="5589" xr:uid="{00000000-0005-0000-0000-00006E150000}"/>
    <cellStyle name="Normal 4 4 3 2 2 3 3 2" xfId="14915" xr:uid="{EBB26499-DAD9-4053-AFCE-415A1BFD3991}"/>
    <cellStyle name="Normal 4 4 3 2 2 3 4" xfId="10698" xr:uid="{FA71474B-83A8-4245-8BBD-22D505037023}"/>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7EEE3D62-61D9-4070-8E0E-40BB6CE48F50}"/>
    <cellStyle name="Normal 4 4 3 2 2 4 2 3" xfId="13256" xr:uid="{1C9A91BD-197A-4823-B826-C3A715262943}"/>
    <cellStyle name="Normal 4 4 3 2 2 4 3" xfId="6002" xr:uid="{00000000-0005-0000-0000-000072150000}"/>
    <cellStyle name="Normal 4 4 3 2 2 4 3 2" xfId="15328" xr:uid="{AE58523C-F19E-47A9-BC7B-8028310331E1}"/>
    <cellStyle name="Normal 4 4 3 2 2 4 4" xfId="11111" xr:uid="{0179FA2A-063C-44F4-AE38-6B1E9473222E}"/>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4A43D473-219A-46C1-9F7C-9C7EE6F3DDE2}"/>
    <cellStyle name="Normal 4 4 3 2 2 5 2 3" xfId="13669" xr:uid="{0ADFD7D4-EF9A-4B39-AADA-DD713F5CD158}"/>
    <cellStyle name="Normal 4 4 3 2 2 5 3" xfId="6415" xr:uid="{00000000-0005-0000-0000-000076150000}"/>
    <cellStyle name="Normal 4 4 3 2 2 5 3 2" xfId="15741" xr:uid="{1BED953B-12E5-4CD3-B9E0-311C208977BC}"/>
    <cellStyle name="Normal 4 4 3 2 2 5 4" xfId="11524" xr:uid="{2A570838-56AF-4068-A44A-4C651F972A13}"/>
    <cellStyle name="Normal 4 4 3 2 2 6" xfId="2545" xr:uid="{00000000-0005-0000-0000-000077150000}"/>
    <cellStyle name="Normal 4 4 3 2 2 6 2" xfId="6828" xr:uid="{00000000-0005-0000-0000-000078150000}"/>
    <cellStyle name="Normal 4 4 3 2 2 6 2 2" xfId="16154" xr:uid="{AFEF6C35-924E-4A5C-9B38-C2C6302434ED}"/>
    <cellStyle name="Normal 4 4 3 2 2 6 3" xfId="11937" xr:uid="{259DC330-C632-4EDC-8785-EBB798F23585}"/>
    <cellStyle name="Normal 4 4 3 2 2 7" xfId="4763" xr:uid="{00000000-0005-0000-0000-000079150000}"/>
    <cellStyle name="Normal 4 4 3 2 2 7 2" xfId="14089" xr:uid="{3E39A093-8233-4EF9-ADB8-ADA3260728CE}"/>
    <cellStyle name="Normal 4 4 3 2 2 8" xfId="9133" xr:uid="{37002A66-D58A-4EF9-8D22-8F1A3EE99E08}"/>
    <cellStyle name="Normal 4 4 3 2 2 8 2" xfId="18457" xr:uid="{CB8B2A3C-8AA4-4184-B329-A4B433E3D342}"/>
    <cellStyle name="Normal 4 4 3 2 2 9" xfId="9872" xr:uid="{13F420D1-6509-42F0-A6D5-33AEF481BF89}"/>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3BD376AC-2D32-4A2C-B628-471E365B16EB}"/>
    <cellStyle name="Normal 4 4 3 2 3 2 3" xfId="12429" xr:uid="{DC4670E4-22C3-428E-9FC7-4801BE14CD03}"/>
    <cellStyle name="Normal 4 4 3 2 3 3" xfId="5175" xr:uid="{00000000-0005-0000-0000-00007D150000}"/>
    <cellStyle name="Normal 4 4 3 2 3 3 2" xfId="14501" xr:uid="{BA6A0B92-B937-4871-B45F-04A774FA6C7C}"/>
    <cellStyle name="Normal 4 4 3 2 3 4" xfId="9351" xr:uid="{51AD2B95-755A-411D-AA40-98381F5D8294}"/>
    <cellStyle name="Normal 4 4 3 2 3 4 2" xfId="18666" xr:uid="{E54F6940-1AEF-42E7-A8E8-732CD89BF516}"/>
    <cellStyle name="Normal 4 4 3 2 3 5" xfId="10284" xr:uid="{FD16DCF5-328F-4BA0-8762-520A4F366451}"/>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37B69D2F-82D4-4F75-873A-89E2FD467666}"/>
    <cellStyle name="Normal 4 4 3 2 4 2 3" xfId="12842" xr:uid="{24E364D8-C320-4AC3-AE9D-FE451E53D50F}"/>
    <cellStyle name="Normal 4 4 3 2 4 3" xfId="5588" xr:uid="{00000000-0005-0000-0000-000081150000}"/>
    <cellStyle name="Normal 4 4 3 2 4 3 2" xfId="14914" xr:uid="{F9DB1BB1-8C22-46B9-9A2F-202BD3E6CC34}"/>
    <cellStyle name="Normal 4 4 3 2 4 4" xfId="10697" xr:uid="{8EA2B652-F3A1-4816-8417-45BE6FF10A27}"/>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24C694C6-63F2-46AE-A636-B4638A039326}"/>
    <cellStyle name="Normal 4 4 3 2 5 2 3" xfId="13255" xr:uid="{6C68922C-8E73-4D50-ADBD-FEFE2E74D1D0}"/>
    <cellStyle name="Normal 4 4 3 2 5 3" xfId="6001" xr:uid="{00000000-0005-0000-0000-000085150000}"/>
    <cellStyle name="Normal 4 4 3 2 5 3 2" xfId="15327" xr:uid="{630DF8BD-64AC-4AC0-A77D-0B1415C1E1BC}"/>
    <cellStyle name="Normal 4 4 3 2 5 4" xfId="11110" xr:uid="{1CECCCD1-D1A5-447D-BCEC-ED1DF06FBEAA}"/>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B0DA4E33-5E58-49EE-9EED-E7EBE98844BA}"/>
    <cellStyle name="Normal 4 4 3 2 6 2 3" xfId="13668" xr:uid="{F2F08AF2-4591-4D74-960B-1A2B7E2198CE}"/>
    <cellStyle name="Normal 4 4 3 2 6 3" xfId="6414" xr:uid="{00000000-0005-0000-0000-000089150000}"/>
    <cellStyle name="Normal 4 4 3 2 6 3 2" xfId="15740" xr:uid="{514D40D0-4409-4F78-B565-B3575B37AFB5}"/>
    <cellStyle name="Normal 4 4 3 2 6 4" xfId="11523" xr:uid="{31DECD4E-0E70-4757-9BA0-8F1C6ACEC43A}"/>
    <cellStyle name="Normal 4 4 3 2 7" xfId="2544" xr:uid="{00000000-0005-0000-0000-00008A150000}"/>
    <cellStyle name="Normal 4 4 3 2 7 2" xfId="6827" xr:uid="{00000000-0005-0000-0000-00008B150000}"/>
    <cellStyle name="Normal 4 4 3 2 7 2 2" xfId="16153" xr:uid="{51D415AE-C318-4EA2-B842-D1295EDDB7E9}"/>
    <cellStyle name="Normal 4 4 3 2 7 3" xfId="11936" xr:uid="{83AD6B8A-A683-4E04-84FB-AFDE573E5B9F}"/>
    <cellStyle name="Normal 4 4 3 2 8" xfId="4762" xr:uid="{00000000-0005-0000-0000-00008C150000}"/>
    <cellStyle name="Normal 4 4 3 2 8 2" xfId="14088" xr:uid="{2501EF42-2A38-403E-AA30-3F4D8F807BDE}"/>
    <cellStyle name="Normal 4 4 3 2 9" xfId="8926" xr:uid="{821D1F47-EF8D-4C64-BA70-5606A81A57B5}"/>
    <cellStyle name="Normal 4 4 3 2 9 2" xfId="18250" xr:uid="{9AC4ACA8-330D-4854-902F-D5F77E96C4F1}"/>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EC93B9B1-540B-41C6-A824-1B46DC837A07}"/>
    <cellStyle name="Normal 4 4 3 3 2 2 3" xfId="12431" xr:uid="{6A9E8403-745F-4DA2-97F7-6C2DD690F282}"/>
    <cellStyle name="Normal 4 4 3 3 2 3" xfId="5177" xr:uid="{00000000-0005-0000-0000-000091150000}"/>
    <cellStyle name="Normal 4 4 3 3 2 3 2" xfId="14503" xr:uid="{278AE558-75F0-482E-8D7A-EC1B3DE23B5B}"/>
    <cellStyle name="Normal 4 4 3 3 2 4" xfId="9455" xr:uid="{E39EB3A2-D99A-426C-AFEC-E4C90C85BE02}"/>
    <cellStyle name="Normal 4 4 3 3 2 4 2" xfId="18770" xr:uid="{1951CFDD-5D2F-493F-B322-FFA803D3E7B3}"/>
    <cellStyle name="Normal 4 4 3 3 2 5" xfId="10286" xr:uid="{AEA51573-307C-4E1D-AE7B-5F0B5DB2A538}"/>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9E7FB4F5-FCF5-465D-B0DB-410832F5CAA3}"/>
    <cellStyle name="Normal 4 4 3 3 3 2 3" xfId="12844" xr:uid="{5CA17778-17F3-43B7-9BAB-E5EFD5C4F4EB}"/>
    <cellStyle name="Normal 4 4 3 3 3 3" xfId="5590" xr:uid="{00000000-0005-0000-0000-000095150000}"/>
    <cellStyle name="Normal 4 4 3 3 3 3 2" xfId="14916" xr:uid="{28490071-3016-4FA7-8177-2504DAEFB1BE}"/>
    <cellStyle name="Normal 4 4 3 3 3 4" xfId="10699" xr:uid="{FF4CF38F-098D-43C6-B7A9-10FC146AC1CA}"/>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43F5EC07-5764-4C51-AD08-3B28F743A3B2}"/>
    <cellStyle name="Normal 4 4 3 3 4 2 3" xfId="13257" xr:uid="{DCB1A2D9-8721-4CE3-92F7-B06A4E4975BD}"/>
    <cellStyle name="Normal 4 4 3 3 4 3" xfId="6003" xr:uid="{00000000-0005-0000-0000-000099150000}"/>
    <cellStyle name="Normal 4 4 3 3 4 3 2" xfId="15329" xr:uid="{176F6B5E-01C2-44A2-9025-9454E1863889}"/>
    <cellStyle name="Normal 4 4 3 3 4 4" xfId="11112" xr:uid="{FA28C09C-3DF4-4C79-A8EA-36B7689988AC}"/>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10AF7D99-BAEC-4B80-B1DF-5F97EB96921A}"/>
    <cellStyle name="Normal 4 4 3 3 5 2 3" xfId="13670" xr:uid="{73CD887B-D785-4A90-98DF-D0CB0895C9AC}"/>
    <cellStyle name="Normal 4 4 3 3 5 3" xfId="6416" xr:uid="{00000000-0005-0000-0000-00009D150000}"/>
    <cellStyle name="Normal 4 4 3 3 5 3 2" xfId="15742" xr:uid="{FA1DC6E3-9CC7-4FEA-83D0-69B28781B85D}"/>
    <cellStyle name="Normal 4 4 3 3 5 4" xfId="11525" xr:uid="{86E64E88-8052-46C1-A9DE-11136FDEAB21}"/>
    <cellStyle name="Normal 4 4 3 3 6" xfId="2546" xr:uid="{00000000-0005-0000-0000-00009E150000}"/>
    <cellStyle name="Normal 4 4 3 3 6 2" xfId="6829" xr:uid="{00000000-0005-0000-0000-00009F150000}"/>
    <cellStyle name="Normal 4 4 3 3 6 2 2" xfId="16155" xr:uid="{6D41FBEB-5D5C-4639-A5AF-46EE8F33A2A5}"/>
    <cellStyle name="Normal 4 4 3 3 6 3" xfId="11938" xr:uid="{89F960F1-B9D7-4886-AD75-4BBC995DEAF7}"/>
    <cellStyle name="Normal 4 4 3 3 7" xfId="4764" xr:uid="{00000000-0005-0000-0000-0000A0150000}"/>
    <cellStyle name="Normal 4 4 3 3 7 2" xfId="14090" xr:uid="{718DCAA0-B4D7-43C6-A5AC-6856A981F14F}"/>
    <cellStyle name="Normal 4 4 3 3 8" xfId="9030" xr:uid="{F975DAAD-4546-4770-9976-5C5C66DA227B}"/>
    <cellStyle name="Normal 4 4 3 3 8 2" xfId="18354" xr:uid="{E61A7D23-48C2-4E65-93A3-70668A6C4462}"/>
    <cellStyle name="Normal 4 4 3 3 9" xfId="9873" xr:uid="{4AB5EBC8-2D2E-444D-94D5-60DC77AFBB04}"/>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14405F51-EE57-4398-A31D-AF0019755E71}"/>
    <cellStyle name="Normal 4 4 3 4 2 3" xfId="12428" xr:uid="{D4E4FF5B-AABA-4E08-A4F2-8663A8A7E619}"/>
    <cellStyle name="Normal 4 4 3 4 3" xfId="5174" xr:uid="{00000000-0005-0000-0000-0000A4150000}"/>
    <cellStyle name="Normal 4 4 3 4 3 2" xfId="14500" xr:uid="{D5AE7E40-E032-42FB-BF50-6E45DD427A4D}"/>
    <cellStyle name="Normal 4 4 3 4 4" xfId="9248" xr:uid="{6C5F877B-48E6-47C2-B849-E53F373D5A86}"/>
    <cellStyle name="Normal 4 4 3 4 4 2" xfId="18563" xr:uid="{9C3DDA97-2DA3-4D0C-A7B1-37460D298619}"/>
    <cellStyle name="Normal 4 4 3 4 5" xfId="10283" xr:uid="{B9C52060-086A-46EE-AF80-6F02738AD686}"/>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7DDACF86-2AD4-4D90-9940-0B1369805760}"/>
    <cellStyle name="Normal 4 4 3 5 2 3" xfId="12841" xr:uid="{E721987A-963F-40CC-A4D0-1125BB78489B}"/>
    <cellStyle name="Normal 4 4 3 5 3" xfId="5587" xr:uid="{00000000-0005-0000-0000-0000A8150000}"/>
    <cellStyle name="Normal 4 4 3 5 3 2" xfId="14913" xr:uid="{83B37B28-8BB6-439F-A59B-2BCA77F2F3CB}"/>
    <cellStyle name="Normal 4 4 3 5 4" xfId="10696" xr:uid="{4E41504B-1FE1-4753-93C9-13FF4C2D007A}"/>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2D16597F-2E4D-400B-B8AD-EF8850DF4099}"/>
    <cellStyle name="Normal 4 4 3 6 2 3" xfId="13254" xr:uid="{75F90002-ADCE-4DA5-AB4A-3C799E1E6E3D}"/>
    <cellStyle name="Normal 4 4 3 6 3" xfId="6000" xr:uid="{00000000-0005-0000-0000-0000AC150000}"/>
    <cellStyle name="Normal 4 4 3 6 3 2" xfId="15326" xr:uid="{0F85CCA2-B55A-4806-BA05-9121C91EE596}"/>
    <cellStyle name="Normal 4 4 3 6 4" xfId="11109" xr:uid="{DA60DD01-0E00-4D1F-B825-E54618BF4091}"/>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510094B6-E7FA-4181-ACA7-FE36FFDE22CC}"/>
    <cellStyle name="Normal 4 4 3 7 2 3" xfId="13667" xr:uid="{D536A5CF-2C54-441A-BD15-2EDAE5BB01CF}"/>
    <cellStyle name="Normal 4 4 3 7 3" xfId="6413" xr:uid="{00000000-0005-0000-0000-0000B0150000}"/>
    <cellStyle name="Normal 4 4 3 7 3 2" xfId="15739" xr:uid="{8E209BA9-4EF8-4834-BEBA-79C94835E421}"/>
    <cellStyle name="Normal 4 4 3 7 4" xfId="11522" xr:uid="{60793AD4-DE2C-4597-A1EC-D4F3865534F4}"/>
    <cellStyle name="Normal 4 4 3 8" xfId="2543" xr:uid="{00000000-0005-0000-0000-0000B1150000}"/>
    <cellStyle name="Normal 4 4 3 8 2" xfId="6826" xr:uid="{00000000-0005-0000-0000-0000B2150000}"/>
    <cellStyle name="Normal 4 4 3 8 2 2" xfId="16152" xr:uid="{16D4F242-EE32-4212-B3DE-6F456A067EB5}"/>
    <cellStyle name="Normal 4 4 3 8 3" xfId="11935" xr:uid="{6F84D599-EC62-4D7C-B367-7778DC74B910}"/>
    <cellStyle name="Normal 4 4 3 9" xfId="4761" xr:uid="{00000000-0005-0000-0000-0000B3150000}"/>
    <cellStyle name="Normal 4 4 3 9 2" xfId="14087" xr:uid="{AD7785EE-94CE-4F15-A8B0-BB5A98FAB41D}"/>
    <cellStyle name="Normal 4 4 4" xfId="391" xr:uid="{00000000-0005-0000-0000-0000B4150000}"/>
    <cellStyle name="Normal 4 4 4 10" xfId="9874" xr:uid="{661A47A4-54B9-4BA9-B43C-3F08D85C0CEB}"/>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E804FD6B-40D2-43A5-BFE1-2C277312AB35}"/>
    <cellStyle name="Normal 4 4 4 2 2 2 3" xfId="12433" xr:uid="{470B4CC6-C019-4A91-922D-F70530F80327}"/>
    <cellStyle name="Normal 4 4 4 2 2 3" xfId="5179" xr:uid="{00000000-0005-0000-0000-0000B9150000}"/>
    <cellStyle name="Normal 4 4 4 2 2 3 2" xfId="14505" xr:uid="{2D008B2B-7E54-4D13-A11D-45B9C63C79AA}"/>
    <cellStyle name="Normal 4 4 4 2 2 4" xfId="9484" xr:uid="{69910E0C-08C8-41C5-A6FC-61B52F6CD538}"/>
    <cellStyle name="Normal 4 4 4 2 2 4 2" xfId="18799" xr:uid="{74BBB6B2-B481-44B0-828E-93EE43426594}"/>
    <cellStyle name="Normal 4 4 4 2 2 5" xfId="10288" xr:uid="{9A071E21-57D5-4F2A-9130-EF163E4BA457}"/>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4C41D5AD-1057-4389-A861-26AF62C16EE9}"/>
    <cellStyle name="Normal 4 4 4 2 3 2 3" xfId="12846" xr:uid="{F59DD555-9F19-4794-AACD-13D0B71FD56F}"/>
    <cellStyle name="Normal 4 4 4 2 3 3" xfId="5592" xr:uid="{00000000-0005-0000-0000-0000BD150000}"/>
    <cellStyle name="Normal 4 4 4 2 3 3 2" xfId="14918" xr:uid="{39F9AB6B-15F5-47DE-AB39-E5205C12908B}"/>
    <cellStyle name="Normal 4 4 4 2 3 4" xfId="10701" xr:uid="{F0F358B1-6F84-410D-8980-E174C44800BE}"/>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68E0C42D-DC0D-4D79-8788-6603C7C221EA}"/>
    <cellStyle name="Normal 4 4 4 2 4 2 3" xfId="13259" xr:uid="{FB5948D7-0C72-4012-ADF3-9D33AAFD2C99}"/>
    <cellStyle name="Normal 4 4 4 2 4 3" xfId="6005" xr:uid="{00000000-0005-0000-0000-0000C1150000}"/>
    <cellStyle name="Normal 4 4 4 2 4 3 2" xfId="15331" xr:uid="{9B2B45B7-736C-46AE-8CA6-22EE018BCE00}"/>
    <cellStyle name="Normal 4 4 4 2 4 4" xfId="11114" xr:uid="{A550F86B-7645-40AA-8351-AF804819EB3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9D750C19-F88C-4584-9925-087384BE8D93}"/>
    <cellStyle name="Normal 4 4 4 2 5 2 3" xfId="13672" xr:uid="{543574DE-D3D2-40A4-9093-62E33548B137}"/>
    <cellStyle name="Normal 4 4 4 2 5 3" xfId="6418" xr:uid="{00000000-0005-0000-0000-0000C5150000}"/>
    <cellStyle name="Normal 4 4 4 2 5 3 2" xfId="15744" xr:uid="{DBDB5C0C-3D76-4E5D-85A2-94F0E0DA8EB0}"/>
    <cellStyle name="Normal 4 4 4 2 5 4" xfId="11527" xr:uid="{54AA3D54-5F8D-4FDB-9700-71FEA5348238}"/>
    <cellStyle name="Normal 4 4 4 2 6" xfId="2548" xr:uid="{00000000-0005-0000-0000-0000C6150000}"/>
    <cellStyle name="Normal 4 4 4 2 6 2" xfId="6831" xr:uid="{00000000-0005-0000-0000-0000C7150000}"/>
    <cellStyle name="Normal 4 4 4 2 6 2 2" xfId="16157" xr:uid="{79510479-78B5-4FA8-9721-FFF9F9C60FFC}"/>
    <cellStyle name="Normal 4 4 4 2 6 3" xfId="11940" xr:uid="{F2DA7D22-2302-4E89-9390-2722BEB5C478}"/>
    <cellStyle name="Normal 4 4 4 2 7" xfId="4766" xr:uid="{00000000-0005-0000-0000-0000C8150000}"/>
    <cellStyle name="Normal 4 4 4 2 7 2" xfId="14092" xr:uid="{36196040-6A15-4B0E-9DC8-F54512F97626}"/>
    <cellStyle name="Normal 4 4 4 2 8" xfId="9059" xr:uid="{76617FCA-DBA6-4291-BD32-6340A19903F7}"/>
    <cellStyle name="Normal 4 4 4 2 8 2" xfId="18383" xr:uid="{83A662F7-1F82-4C5E-AF2B-56BDDD80147E}"/>
    <cellStyle name="Normal 4 4 4 2 9" xfId="9875" xr:uid="{CFB87E6A-CA79-40C2-B82A-C26CF4EA68E6}"/>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5BCBBB0C-1044-4ACD-B880-EEC12654DA61}"/>
    <cellStyle name="Normal 4 4 4 3 2 3" xfId="12432" xr:uid="{655CDD8C-5FCB-4489-9420-432FB61B51FD}"/>
    <cellStyle name="Normal 4 4 4 3 3" xfId="5178" xr:uid="{00000000-0005-0000-0000-0000CC150000}"/>
    <cellStyle name="Normal 4 4 4 3 3 2" xfId="14504" xr:uid="{D4257494-0DA7-4123-8546-114A7AF0A7F4}"/>
    <cellStyle name="Normal 4 4 4 3 4" xfId="9277" xr:uid="{DD01CD29-2559-4BCC-919C-99D1D75C445F}"/>
    <cellStyle name="Normal 4 4 4 3 4 2" xfId="18592" xr:uid="{D8D5CCDE-64D7-4FF7-A43C-D174580892A3}"/>
    <cellStyle name="Normal 4 4 4 3 5" xfId="10287" xr:uid="{BC734165-3F26-45D4-AE30-3EE3068777F6}"/>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393E043E-B499-4C9E-A446-B94B08E7641D}"/>
    <cellStyle name="Normal 4 4 4 4 2 3" xfId="12845" xr:uid="{33E58A77-B94A-448E-B605-475DF5F6968D}"/>
    <cellStyle name="Normal 4 4 4 4 3" xfId="5591" xr:uid="{00000000-0005-0000-0000-0000D0150000}"/>
    <cellStyle name="Normal 4 4 4 4 3 2" xfId="14917" xr:uid="{04115C2D-7B60-46B6-8B09-2C9EAECEAF9B}"/>
    <cellStyle name="Normal 4 4 4 4 4" xfId="10700" xr:uid="{D80EF69C-3B69-4ECF-882E-3F0ADBA655DF}"/>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1833978E-C141-4001-8A6B-B82A02066AF0}"/>
    <cellStyle name="Normal 4 4 4 5 2 3" xfId="13258" xr:uid="{06505654-94CD-4D09-A54A-D8E9F65CC590}"/>
    <cellStyle name="Normal 4 4 4 5 3" xfId="6004" xr:uid="{00000000-0005-0000-0000-0000D4150000}"/>
    <cellStyle name="Normal 4 4 4 5 3 2" xfId="15330" xr:uid="{E912BEA1-B700-4687-929B-0746B035F351}"/>
    <cellStyle name="Normal 4 4 4 5 4" xfId="11113" xr:uid="{EAA50E86-1455-47CD-8A34-7C57F7EE27B1}"/>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FC5C16E3-10F6-47BB-9E78-AD2DD93613E7}"/>
    <cellStyle name="Normal 4 4 4 6 2 3" xfId="13671" xr:uid="{211EED32-AEB7-47E4-A3A1-13293011F1AD}"/>
    <cellStyle name="Normal 4 4 4 6 3" xfId="6417" xr:uid="{00000000-0005-0000-0000-0000D8150000}"/>
    <cellStyle name="Normal 4 4 4 6 3 2" xfId="15743" xr:uid="{C2DC5BD1-3672-4862-AE79-6BEF9D9DC68D}"/>
    <cellStyle name="Normal 4 4 4 6 4" xfId="11526" xr:uid="{A2EFA5E5-1F01-43D0-A0D7-089B0E9BA668}"/>
    <cellStyle name="Normal 4 4 4 7" xfId="2547" xr:uid="{00000000-0005-0000-0000-0000D9150000}"/>
    <cellStyle name="Normal 4 4 4 7 2" xfId="6830" xr:uid="{00000000-0005-0000-0000-0000DA150000}"/>
    <cellStyle name="Normal 4 4 4 7 2 2" xfId="16156" xr:uid="{446EEBA2-8F48-4E72-9A44-982DF8D1DDBB}"/>
    <cellStyle name="Normal 4 4 4 7 3" xfId="11939" xr:uid="{1456EC1F-AFFF-4C33-B62D-399493138F9D}"/>
    <cellStyle name="Normal 4 4 4 8" xfId="4765" xr:uid="{00000000-0005-0000-0000-0000DB150000}"/>
    <cellStyle name="Normal 4 4 4 8 2" xfId="14091" xr:uid="{AD7269FB-5406-429F-84B5-9EB939F983E8}"/>
    <cellStyle name="Normal 4 4 4 9" xfId="8852" xr:uid="{DF4BB962-85B1-44B5-A0FE-735796672772}"/>
    <cellStyle name="Normal 4 4 4 9 2" xfId="18176" xr:uid="{212B93A2-3AAA-4C87-BC2B-3B9DCAE97D4C}"/>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7B8F832B-59F8-484E-AE81-BD3B74E77109}"/>
    <cellStyle name="Normal 4 4 5 2 2 3" xfId="12434" xr:uid="{5BE8A77A-7A7B-49CA-9CB8-1DF40CD9E6D6}"/>
    <cellStyle name="Normal 4 4 5 2 3" xfId="5180" xr:uid="{00000000-0005-0000-0000-0000E0150000}"/>
    <cellStyle name="Normal 4 4 5 2 3 2" xfId="14506" xr:uid="{61AFED91-A5A8-4E63-886F-E1A39C1A54DE}"/>
    <cellStyle name="Normal 4 4 5 2 4" xfId="9393" xr:uid="{C2991CC4-4E0B-46C4-B338-C6A1C9BA2DE9}"/>
    <cellStyle name="Normal 4 4 5 2 4 2" xfId="18708" xr:uid="{57108801-FDCC-4617-9355-C977DAC2D132}"/>
    <cellStyle name="Normal 4 4 5 2 5" xfId="10289" xr:uid="{23909BBE-11D4-4450-9544-7076F94E55C0}"/>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222A7814-BE96-4C3D-9C99-28B5A48F12DA}"/>
    <cellStyle name="Normal 4 4 5 3 2 3" xfId="12847" xr:uid="{F13B734B-B674-4CD2-B5BC-11F3E01CA5FE}"/>
    <cellStyle name="Normal 4 4 5 3 3" xfId="5593" xr:uid="{00000000-0005-0000-0000-0000E4150000}"/>
    <cellStyle name="Normal 4 4 5 3 3 2" xfId="14919" xr:uid="{FD457111-2E9A-4F99-A3EB-ECDE6CAC9430}"/>
    <cellStyle name="Normal 4 4 5 3 4" xfId="10702" xr:uid="{D6DB9274-F48B-4BBB-B794-ECD8017E1F4F}"/>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25F7DC5A-C840-4F0D-B028-9873DBE15D8C}"/>
    <cellStyle name="Normal 4 4 5 4 2 3" xfId="13260" xr:uid="{200FE0D8-AC5D-4C69-940E-E7A0032F2C43}"/>
    <cellStyle name="Normal 4 4 5 4 3" xfId="6006" xr:uid="{00000000-0005-0000-0000-0000E8150000}"/>
    <cellStyle name="Normal 4 4 5 4 3 2" xfId="15332" xr:uid="{B088FDAC-81F0-4656-87BD-E4867DB29D39}"/>
    <cellStyle name="Normal 4 4 5 4 4" xfId="11115" xr:uid="{011FC19A-983A-47F6-BB60-2AB83A6E8E13}"/>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9942A980-3A99-4EA1-81A5-6689F523A30B}"/>
    <cellStyle name="Normal 4 4 5 5 2 3" xfId="13673" xr:uid="{D4D30BF4-4ECB-43B5-BD39-B43D680D43EA}"/>
    <cellStyle name="Normal 4 4 5 5 3" xfId="6419" xr:uid="{00000000-0005-0000-0000-0000EC150000}"/>
    <cellStyle name="Normal 4 4 5 5 3 2" xfId="15745" xr:uid="{1E065037-8E1D-4351-9352-7B9D193FB298}"/>
    <cellStyle name="Normal 4 4 5 5 4" xfId="11528" xr:uid="{2D8FB4C0-F06B-43FC-B094-6CC5148D415C}"/>
    <cellStyle name="Normal 4 4 5 6" xfId="2549" xr:uid="{00000000-0005-0000-0000-0000ED150000}"/>
    <cellStyle name="Normal 4 4 5 6 2" xfId="6832" xr:uid="{00000000-0005-0000-0000-0000EE150000}"/>
    <cellStyle name="Normal 4 4 5 6 2 2" xfId="16158" xr:uid="{986278B8-19F6-4A32-892C-9966A8C04EBC}"/>
    <cellStyle name="Normal 4 4 5 6 3" xfId="11941" xr:uid="{4D75D391-AAF5-42F8-9169-29608FC6993D}"/>
    <cellStyle name="Normal 4 4 5 7" xfId="4767" xr:uid="{00000000-0005-0000-0000-0000EF150000}"/>
    <cellStyle name="Normal 4 4 5 7 2" xfId="14093" xr:uid="{E3D28D3F-5FD7-4D19-A195-2B6A74B7BDC5}"/>
    <cellStyle name="Normal 4 4 5 8" xfId="8968" xr:uid="{BE877DDE-435D-4CBA-84F2-0372D1DDE771}"/>
    <cellStyle name="Normal 4 4 5 8 2" xfId="18292" xr:uid="{0A83D1F9-D7A3-4829-BC6F-5707E449EA9E}"/>
    <cellStyle name="Normal 4 4 5 9" xfId="9876" xr:uid="{9907D2A4-8533-41D0-B752-456C1CDF0031}"/>
    <cellStyle name="Normal 4 4 6" xfId="853" xr:uid="{00000000-0005-0000-0000-0000F0150000}"/>
    <cellStyle name="Normal 4 4 6 2" xfId="3088" xr:uid="{00000000-0005-0000-0000-0000F1150000}"/>
    <cellStyle name="Normal 4 4 6 2 2" xfId="7310" xr:uid="{00000000-0005-0000-0000-0000F2150000}"/>
    <cellStyle name="Normal 4 4 6 2 2 2" xfId="16636" xr:uid="{86919240-7596-493A-93BA-977779DA343A}"/>
    <cellStyle name="Normal 4 4 6 2 3" xfId="12419" xr:uid="{74DFFC00-C8B1-4CAD-BC47-13D168A06F5A}"/>
    <cellStyle name="Normal 4 4 6 3" xfId="5165" xr:uid="{00000000-0005-0000-0000-0000F3150000}"/>
    <cellStyle name="Normal 4 4 6 3 2" xfId="14491" xr:uid="{73FD333D-5A4B-4388-BE73-626CA00E6A4B}"/>
    <cellStyle name="Normal 4 4 6 4" xfId="9171" xr:uid="{C474601B-95F0-4C9E-AB77-B3E61D2A21D7}"/>
    <cellStyle name="Normal 4 4 6 4 2" xfId="18489" xr:uid="{BF6B53E3-B13E-432B-B3A0-CF8B363B75D5}"/>
    <cellStyle name="Normal 4 4 6 5" xfId="10274" xr:uid="{A080551F-D6DC-4E34-B58C-CBC9E123382F}"/>
    <cellStyle name="Normal 4 4 7" xfId="1271" xr:uid="{00000000-0005-0000-0000-0000F4150000}"/>
    <cellStyle name="Normal 4 4 7 2" xfId="3501" xr:uid="{00000000-0005-0000-0000-0000F5150000}"/>
    <cellStyle name="Normal 4 4 7 2 2" xfId="7723" xr:uid="{00000000-0005-0000-0000-0000F6150000}"/>
    <cellStyle name="Normal 4 4 7 2 2 2" xfId="17049" xr:uid="{46E85C83-8E20-49B0-BF94-F49758DE2B44}"/>
    <cellStyle name="Normal 4 4 7 2 3" xfId="12832" xr:uid="{10958B86-1659-4ECA-A0D5-F1D7B216CFA4}"/>
    <cellStyle name="Normal 4 4 7 3" xfId="5578" xr:uid="{00000000-0005-0000-0000-0000F7150000}"/>
    <cellStyle name="Normal 4 4 7 3 2" xfId="14904" xr:uid="{45F97914-DD11-4A7E-AEFA-45851FBFD573}"/>
    <cellStyle name="Normal 4 4 7 4" xfId="10687" xr:uid="{3440BC3A-3805-47FF-9C2E-C2525A061930}"/>
    <cellStyle name="Normal 4 4 8" xfId="1684" xr:uid="{00000000-0005-0000-0000-0000F8150000}"/>
    <cellStyle name="Normal 4 4 8 2" xfId="3914" xr:uid="{00000000-0005-0000-0000-0000F9150000}"/>
    <cellStyle name="Normal 4 4 8 2 2" xfId="8136" xr:uid="{00000000-0005-0000-0000-0000FA150000}"/>
    <cellStyle name="Normal 4 4 8 2 2 2" xfId="17462" xr:uid="{8C6E05D8-3254-4786-BE8C-B80D4F755745}"/>
    <cellStyle name="Normal 4 4 8 2 3" xfId="13245" xr:uid="{8D9DBAB4-97C3-43E3-8E83-A436E46B8253}"/>
    <cellStyle name="Normal 4 4 8 3" xfId="5991" xr:uid="{00000000-0005-0000-0000-0000FB150000}"/>
    <cellStyle name="Normal 4 4 8 3 2" xfId="15317" xr:uid="{49B80719-01A3-4A43-93AA-B5F3F513F3BE}"/>
    <cellStyle name="Normal 4 4 8 4" xfId="11100" xr:uid="{C2D20D9D-900E-41E2-96E1-A08B0FC13876}"/>
    <cellStyle name="Normal 4 4 9" xfId="2098" xr:uid="{00000000-0005-0000-0000-0000FC150000}"/>
    <cellStyle name="Normal 4 4 9 2" xfId="4327" xr:uid="{00000000-0005-0000-0000-0000FD150000}"/>
    <cellStyle name="Normal 4 4 9 2 2" xfId="8549" xr:uid="{00000000-0005-0000-0000-0000FE150000}"/>
    <cellStyle name="Normal 4 4 9 2 2 2" xfId="17875" xr:uid="{FB1BB67E-4CFE-413B-8CC1-55EADB621BEC}"/>
    <cellStyle name="Normal 4 4 9 2 3" xfId="13658" xr:uid="{8F3317FF-BA11-4A85-83C5-C5C1DD082898}"/>
    <cellStyle name="Normal 4 4 9 3" xfId="6404" xr:uid="{00000000-0005-0000-0000-0000FF150000}"/>
    <cellStyle name="Normal 4 4 9 3 2" xfId="15730" xr:uid="{F3D20050-457F-4ADE-8233-274FCD5266BB}"/>
    <cellStyle name="Normal 4 4 9 4" xfId="11513" xr:uid="{DF1FC5B3-AD27-4BA0-AB9E-59B9EB63A506}"/>
    <cellStyle name="Normal 4 5" xfId="394" xr:uid="{00000000-0005-0000-0000-000000160000}"/>
    <cellStyle name="Normal 4 6" xfId="395" xr:uid="{00000000-0005-0000-0000-000001160000}"/>
    <cellStyle name="Normal 4 6 10" xfId="4768" xr:uid="{00000000-0005-0000-0000-000002160000}"/>
    <cellStyle name="Normal 4 6 10 2" xfId="14094" xr:uid="{A728F973-55E6-4CB5-B2C7-172CDCDF66C2}"/>
    <cellStyle name="Normal 4 6 11" xfId="8772" xr:uid="{23628FEE-4113-4B2C-B2A0-0106FC7F55C2}"/>
    <cellStyle name="Normal 4 6 11 2" xfId="18096" xr:uid="{BCCA2800-CA65-4136-BAA8-02E0767072CD}"/>
    <cellStyle name="Normal 4 6 12" xfId="9877" xr:uid="{6FEEDF53-6182-4948-912B-318821E45DCD}"/>
    <cellStyle name="Normal 4 6 2" xfId="396" xr:uid="{00000000-0005-0000-0000-000003160000}"/>
    <cellStyle name="Normal 4 6 2 10" xfId="8825" xr:uid="{C3062495-9D56-441B-95F6-B73E7DAC524C}"/>
    <cellStyle name="Normal 4 6 2 10 2" xfId="18149" xr:uid="{28DEBF65-681F-497D-BCC1-20FD5B726E9B}"/>
    <cellStyle name="Normal 4 6 2 11" xfId="9878" xr:uid="{CB7432E9-F24B-46CA-9139-5C349A7446F3}"/>
    <cellStyle name="Normal 4 6 2 2" xfId="397" xr:uid="{00000000-0005-0000-0000-000004160000}"/>
    <cellStyle name="Normal 4 6 2 2 10" xfId="9879" xr:uid="{80DC104B-780A-43C3-9F9C-CD4BF8D9A05C}"/>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CD9702BF-0A06-4689-8299-C1524F99F14B}"/>
    <cellStyle name="Normal 4 6 2 2 2 2 2 3" xfId="12438" xr:uid="{663441C0-56AA-4935-A0CF-938B71D94733}"/>
    <cellStyle name="Normal 4 6 2 2 2 2 3" xfId="5184" xr:uid="{00000000-0005-0000-0000-000009160000}"/>
    <cellStyle name="Normal 4 6 2 2 2 2 3 2" xfId="14510" xr:uid="{A17898D8-8805-4393-91DA-0C0C1CD353F4}"/>
    <cellStyle name="Normal 4 6 2 2 2 2 4" xfId="9560" xr:uid="{04DAEE11-A96E-4522-8546-8A0C107E12B9}"/>
    <cellStyle name="Normal 4 6 2 2 2 2 4 2" xfId="18875" xr:uid="{498F6165-2C37-44CE-98F0-B6B4C43C56E0}"/>
    <cellStyle name="Normal 4 6 2 2 2 2 5" xfId="10293" xr:uid="{0428F986-9B68-47EE-B66C-4916FE108127}"/>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ECBD0EBA-515F-41B7-8160-8DB2B4226B34}"/>
    <cellStyle name="Normal 4 6 2 2 2 3 2 3" xfId="12851" xr:uid="{200A2EEF-9E17-498B-8363-FE1341E507C4}"/>
    <cellStyle name="Normal 4 6 2 2 2 3 3" xfId="5597" xr:uid="{00000000-0005-0000-0000-00000D160000}"/>
    <cellStyle name="Normal 4 6 2 2 2 3 3 2" xfId="14923" xr:uid="{7A81BFA8-D3CF-4D93-81BD-689CA33E8115}"/>
    <cellStyle name="Normal 4 6 2 2 2 3 4" xfId="10706" xr:uid="{887D7FDF-D508-4182-814C-4EDD3D98FDCF}"/>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2EB40084-A6DE-46D0-9C21-0A6EED2A14F3}"/>
    <cellStyle name="Normal 4 6 2 2 2 4 2 3" xfId="13264" xr:uid="{1B73A87F-7832-4821-AEE9-A66A598F3490}"/>
    <cellStyle name="Normal 4 6 2 2 2 4 3" xfId="6010" xr:uid="{00000000-0005-0000-0000-000011160000}"/>
    <cellStyle name="Normal 4 6 2 2 2 4 3 2" xfId="15336" xr:uid="{9C8365BD-52DF-43D5-A0C7-88D1B82B4202}"/>
    <cellStyle name="Normal 4 6 2 2 2 4 4" xfId="11119" xr:uid="{80E2DC6F-68AE-4CFB-BA7E-1235458E3C25}"/>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2008E551-B118-4BA3-804B-17D0B1E835EC}"/>
    <cellStyle name="Normal 4 6 2 2 2 5 2 3" xfId="13677" xr:uid="{9E42F609-E7DF-49FA-985A-D7D918BF8BA6}"/>
    <cellStyle name="Normal 4 6 2 2 2 5 3" xfId="6423" xr:uid="{00000000-0005-0000-0000-000015160000}"/>
    <cellStyle name="Normal 4 6 2 2 2 5 3 2" xfId="15749" xr:uid="{983DEE9C-84A8-4C07-B923-2F58024E42CE}"/>
    <cellStyle name="Normal 4 6 2 2 2 5 4" xfId="11532" xr:uid="{E0F24C4E-EAA4-44E3-8384-E4BFB617C224}"/>
    <cellStyle name="Normal 4 6 2 2 2 6" xfId="2553" xr:uid="{00000000-0005-0000-0000-000016160000}"/>
    <cellStyle name="Normal 4 6 2 2 2 6 2" xfId="6836" xr:uid="{00000000-0005-0000-0000-000017160000}"/>
    <cellStyle name="Normal 4 6 2 2 2 6 2 2" xfId="16162" xr:uid="{B7B8F087-6D24-43F5-9223-37438D482977}"/>
    <cellStyle name="Normal 4 6 2 2 2 6 3" xfId="11945" xr:uid="{B85909DA-DB67-4446-A889-671A68D10C6A}"/>
    <cellStyle name="Normal 4 6 2 2 2 7" xfId="4771" xr:uid="{00000000-0005-0000-0000-000018160000}"/>
    <cellStyle name="Normal 4 6 2 2 2 7 2" xfId="14097" xr:uid="{EE9C3D32-FC1D-48D2-A087-722E445FEAAB}"/>
    <cellStyle name="Normal 4 6 2 2 2 8" xfId="9135" xr:uid="{2F4C420F-13DD-45DD-99DD-C7AFF7CD7823}"/>
    <cellStyle name="Normal 4 6 2 2 2 8 2" xfId="18459" xr:uid="{AC272161-A15F-46DE-A044-26FE66B9DE35}"/>
    <cellStyle name="Normal 4 6 2 2 2 9" xfId="9880" xr:uid="{FEB5DD41-F3D5-4BB4-8BB5-1CC3D86630DE}"/>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F2398678-8AF7-4FF5-A91F-AB2B4B6089EB}"/>
    <cellStyle name="Normal 4 6 2 2 3 2 3" xfId="12437" xr:uid="{55CE51E9-4374-4A2F-A5BE-F4746EB96C41}"/>
    <cellStyle name="Normal 4 6 2 2 3 3" xfId="5183" xr:uid="{00000000-0005-0000-0000-00001C160000}"/>
    <cellStyle name="Normal 4 6 2 2 3 3 2" xfId="14509" xr:uid="{D1EEFB00-EC7A-40EE-80A2-4A8442B18B93}"/>
    <cellStyle name="Normal 4 6 2 2 3 4" xfId="9353" xr:uid="{60C7EC16-17DE-43AF-A246-41C667B376B7}"/>
    <cellStyle name="Normal 4 6 2 2 3 4 2" xfId="18668" xr:uid="{B6ABADCC-E615-49F1-8BB3-9B3BB67A8117}"/>
    <cellStyle name="Normal 4 6 2 2 3 5" xfId="10292" xr:uid="{FA50A594-F498-4A6E-80A9-7FF3E49C6CF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3DDC4BC5-D087-406F-AAA0-14909BE65325}"/>
    <cellStyle name="Normal 4 6 2 2 4 2 3" xfId="12850" xr:uid="{06215ADC-7DB8-4A62-BD7F-505915CCF064}"/>
    <cellStyle name="Normal 4 6 2 2 4 3" xfId="5596" xr:uid="{00000000-0005-0000-0000-000020160000}"/>
    <cellStyle name="Normal 4 6 2 2 4 3 2" xfId="14922" xr:uid="{DED366CE-6DC8-4DC2-A924-077020369D53}"/>
    <cellStyle name="Normal 4 6 2 2 4 4" xfId="10705" xr:uid="{FC890F7C-923B-4AE1-A281-8203CC79D91A}"/>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68CB2B88-5D6B-4A64-87FF-BEE46B3F253F}"/>
    <cellStyle name="Normal 4 6 2 2 5 2 3" xfId="13263" xr:uid="{105A1B1B-7504-4CC8-9E8F-9B6EC30E2082}"/>
    <cellStyle name="Normal 4 6 2 2 5 3" xfId="6009" xr:uid="{00000000-0005-0000-0000-000024160000}"/>
    <cellStyle name="Normal 4 6 2 2 5 3 2" xfId="15335" xr:uid="{68E5C673-EE6C-4EC4-8E61-35A34CB0D2DF}"/>
    <cellStyle name="Normal 4 6 2 2 5 4" xfId="11118" xr:uid="{8F1D4B61-1A30-4AE4-9B48-D1EF8941076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D8A22AE4-87ED-4894-948A-601DEA34F476}"/>
    <cellStyle name="Normal 4 6 2 2 6 2 3" xfId="13676" xr:uid="{DE6F07E2-B3E2-41A4-A640-5F5276A9C1CE}"/>
    <cellStyle name="Normal 4 6 2 2 6 3" xfId="6422" xr:uid="{00000000-0005-0000-0000-000028160000}"/>
    <cellStyle name="Normal 4 6 2 2 6 3 2" xfId="15748" xr:uid="{A95539C4-0339-488A-A585-9BDA974321BB}"/>
    <cellStyle name="Normal 4 6 2 2 6 4" xfId="11531" xr:uid="{FB2784EC-5EF0-4A0D-93A6-FC18C8E07273}"/>
    <cellStyle name="Normal 4 6 2 2 7" xfId="2552" xr:uid="{00000000-0005-0000-0000-000029160000}"/>
    <cellStyle name="Normal 4 6 2 2 7 2" xfId="6835" xr:uid="{00000000-0005-0000-0000-00002A160000}"/>
    <cellStyle name="Normal 4 6 2 2 7 2 2" xfId="16161" xr:uid="{EF735FBC-EE82-471C-99B8-AB8BEC662789}"/>
    <cellStyle name="Normal 4 6 2 2 7 3" xfId="11944" xr:uid="{31383FF6-93E6-490B-91F9-0AFFF290D28F}"/>
    <cellStyle name="Normal 4 6 2 2 8" xfId="4770" xr:uid="{00000000-0005-0000-0000-00002B160000}"/>
    <cellStyle name="Normal 4 6 2 2 8 2" xfId="14096" xr:uid="{15CA390A-214A-4D76-8DDC-68ACB3E4ED9D}"/>
    <cellStyle name="Normal 4 6 2 2 9" xfId="8928" xr:uid="{EC58FE5E-68BA-4864-AD86-0F9D1DB17AD0}"/>
    <cellStyle name="Normal 4 6 2 2 9 2" xfId="18252" xr:uid="{0EF3B93A-2170-4C3B-93B6-39B0BF70815B}"/>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5A43B757-6F3E-4C0E-AD48-36924A2B176C}"/>
    <cellStyle name="Normal 4 6 2 3 2 2 3" xfId="12439" xr:uid="{47708346-3A3A-4D1D-AAFC-B6FBEB5F1D79}"/>
    <cellStyle name="Normal 4 6 2 3 2 3" xfId="5185" xr:uid="{00000000-0005-0000-0000-000030160000}"/>
    <cellStyle name="Normal 4 6 2 3 2 3 2" xfId="14511" xr:uid="{E6165BFB-1265-4711-A8D6-B88A4B5E34ED}"/>
    <cellStyle name="Normal 4 6 2 3 2 4" xfId="9457" xr:uid="{E86AED2D-42AD-49DE-9461-1FA72B82C89E}"/>
    <cellStyle name="Normal 4 6 2 3 2 4 2" xfId="18772" xr:uid="{A84251C6-D23F-4F6B-A157-143888BBFF81}"/>
    <cellStyle name="Normal 4 6 2 3 2 5" xfId="10294" xr:uid="{CB741F73-4ED4-4DFF-A375-6DFB3270529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5C227139-E08F-49F4-8B7C-99267199C90D}"/>
    <cellStyle name="Normal 4 6 2 3 3 2 3" xfId="12852" xr:uid="{D2E2D2B1-3465-4619-A817-9D2968A24F2E}"/>
    <cellStyle name="Normal 4 6 2 3 3 3" xfId="5598" xr:uid="{00000000-0005-0000-0000-000034160000}"/>
    <cellStyle name="Normal 4 6 2 3 3 3 2" xfId="14924" xr:uid="{7A73CBE4-8AF6-42FC-B9F1-5185705F8164}"/>
    <cellStyle name="Normal 4 6 2 3 3 4" xfId="10707" xr:uid="{A41AD333-143E-4B6A-A345-8B59606E3472}"/>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DF9B858A-DD05-4902-A433-BFDEC47082F2}"/>
    <cellStyle name="Normal 4 6 2 3 4 2 3" xfId="13265" xr:uid="{93007B6A-2AF0-4B17-9EF2-DF49832E46CA}"/>
    <cellStyle name="Normal 4 6 2 3 4 3" xfId="6011" xr:uid="{00000000-0005-0000-0000-000038160000}"/>
    <cellStyle name="Normal 4 6 2 3 4 3 2" xfId="15337" xr:uid="{B31D8E7A-EDE7-4A38-BBA7-19DB11E52559}"/>
    <cellStyle name="Normal 4 6 2 3 4 4" xfId="11120" xr:uid="{7E1EC201-AB2E-4DEF-9598-E21A490F6E40}"/>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1D22921D-4F83-4EF3-9D50-F5F04F9B1464}"/>
    <cellStyle name="Normal 4 6 2 3 5 2 3" xfId="13678" xr:uid="{A4EA923C-8C36-4C9E-BB26-E0BFE4E3DC7F}"/>
    <cellStyle name="Normal 4 6 2 3 5 3" xfId="6424" xr:uid="{00000000-0005-0000-0000-00003C160000}"/>
    <cellStyle name="Normal 4 6 2 3 5 3 2" xfId="15750" xr:uid="{C8E1DED1-0460-4E12-8690-E742F29B1519}"/>
    <cellStyle name="Normal 4 6 2 3 5 4" xfId="11533" xr:uid="{073A8EE0-B906-43B1-B31A-F39EC9B492E2}"/>
    <cellStyle name="Normal 4 6 2 3 6" xfId="2554" xr:uid="{00000000-0005-0000-0000-00003D160000}"/>
    <cellStyle name="Normal 4 6 2 3 6 2" xfId="6837" xr:uid="{00000000-0005-0000-0000-00003E160000}"/>
    <cellStyle name="Normal 4 6 2 3 6 2 2" xfId="16163" xr:uid="{A239C5D1-ED55-4979-ACCB-09C78C29B791}"/>
    <cellStyle name="Normal 4 6 2 3 6 3" xfId="11946" xr:uid="{B95F0934-9D17-45CD-99C0-0BEF0C3C2213}"/>
    <cellStyle name="Normal 4 6 2 3 7" xfId="4772" xr:uid="{00000000-0005-0000-0000-00003F160000}"/>
    <cellStyle name="Normal 4 6 2 3 7 2" xfId="14098" xr:uid="{5F9823B3-826C-4CEE-9B59-B9C31FEE7669}"/>
    <cellStyle name="Normal 4 6 2 3 8" xfId="9032" xr:uid="{576A1DC5-5971-4772-803F-0A60F80D4C41}"/>
    <cellStyle name="Normal 4 6 2 3 8 2" xfId="18356" xr:uid="{FEAA4CB5-13E4-4865-9D69-47B2DB9C94AD}"/>
    <cellStyle name="Normal 4 6 2 3 9" xfId="9881" xr:uid="{9637F230-E24A-46C8-906B-FBE92063B4B0}"/>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FF663877-5CA3-46D4-9FD0-54D57FD141A4}"/>
    <cellStyle name="Normal 4 6 2 4 2 3" xfId="12436" xr:uid="{DD3843FD-90C4-4F38-9D8D-7B2F7E5A485F}"/>
    <cellStyle name="Normal 4 6 2 4 3" xfId="5182" xr:uid="{00000000-0005-0000-0000-000043160000}"/>
    <cellStyle name="Normal 4 6 2 4 3 2" xfId="14508" xr:uid="{B5E7293F-66F3-4620-A030-3DC6E9C094CD}"/>
    <cellStyle name="Normal 4 6 2 4 4" xfId="9250" xr:uid="{CBBC9A51-5203-4C00-93C7-FE7C973DCDD1}"/>
    <cellStyle name="Normal 4 6 2 4 4 2" xfId="18565" xr:uid="{8598C3F4-BCF3-46CE-A4E3-0FDE34F82C76}"/>
    <cellStyle name="Normal 4 6 2 4 5" xfId="10291" xr:uid="{CFAF6BC7-F3F2-47E5-B65B-1CFE51801237}"/>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6EECA07F-7E44-41E0-AD6F-C3AE5BCF954D}"/>
    <cellStyle name="Normal 4 6 2 5 2 3" xfId="12849" xr:uid="{404FFA7B-0648-4DB2-82AE-9D9FA5CC653A}"/>
    <cellStyle name="Normal 4 6 2 5 3" xfId="5595" xr:uid="{00000000-0005-0000-0000-000047160000}"/>
    <cellStyle name="Normal 4 6 2 5 3 2" xfId="14921" xr:uid="{D63F3AE0-8D58-4614-B0C0-0F676CAA4AB5}"/>
    <cellStyle name="Normal 4 6 2 5 4" xfId="10704" xr:uid="{8E6A393B-5F8C-4B73-A0F9-E71F6E659A1E}"/>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8C6E3392-8E0D-46E8-9C99-4719D12A497E}"/>
    <cellStyle name="Normal 4 6 2 6 2 3" xfId="13262" xr:uid="{86F98AB5-00D9-416E-A1D6-3CC529BD3DF5}"/>
    <cellStyle name="Normal 4 6 2 6 3" xfId="6008" xr:uid="{00000000-0005-0000-0000-00004B160000}"/>
    <cellStyle name="Normal 4 6 2 6 3 2" xfId="15334" xr:uid="{15947A11-4DEE-450E-8995-F67AA2CB9948}"/>
    <cellStyle name="Normal 4 6 2 6 4" xfId="11117" xr:uid="{1AB3B882-77AF-44BA-8080-B8A2110B3AA3}"/>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950F2CA7-9464-49C8-BD2D-5B6814197909}"/>
    <cellStyle name="Normal 4 6 2 7 2 3" xfId="13675" xr:uid="{272085B7-9181-4B1D-A416-725E4C7215B9}"/>
    <cellStyle name="Normal 4 6 2 7 3" xfId="6421" xr:uid="{00000000-0005-0000-0000-00004F160000}"/>
    <cellStyle name="Normal 4 6 2 7 3 2" xfId="15747" xr:uid="{8DC0A239-09CA-496E-91B1-B6EA7C3033B0}"/>
    <cellStyle name="Normal 4 6 2 7 4" xfId="11530" xr:uid="{1749B6BC-B79C-4C9A-A578-3A84A1F73D61}"/>
    <cellStyle name="Normal 4 6 2 8" xfId="2551" xr:uid="{00000000-0005-0000-0000-000050160000}"/>
    <cellStyle name="Normal 4 6 2 8 2" xfId="6834" xr:uid="{00000000-0005-0000-0000-000051160000}"/>
    <cellStyle name="Normal 4 6 2 8 2 2" xfId="16160" xr:uid="{072EE455-59AE-46A2-8908-9CAC7ED5E662}"/>
    <cellStyle name="Normal 4 6 2 8 3" xfId="11943" xr:uid="{55BD5774-B347-42AA-9973-7C616414BC42}"/>
    <cellStyle name="Normal 4 6 2 9" xfId="4769" xr:uid="{00000000-0005-0000-0000-000052160000}"/>
    <cellStyle name="Normal 4 6 2 9 2" xfId="14095" xr:uid="{B7563B2C-8ABA-4D1D-A32D-D00EF1234216}"/>
    <cellStyle name="Normal 4 6 3" xfId="400" xr:uid="{00000000-0005-0000-0000-000053160000}"/>
    <cellStyle name="Normal 4 6 3 10" xfId="9882" xr:uid="{B3BEEA5F-6CF8-417C-A08E-5A584FF1117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122D5914-B602-463A-8CE9-7A6CF8F15268}"/>
    <cellStyle name="Normal 4 6 3 2 2 2 3" xfId="12441" xr:uid="{6314B142-4343-4525-B33A-63A27AB7A9DA}"/>
    <cellStyle name="Normal 4 6 3 2 2 3" xfId="5187" xr:uid="{00000000-0005-0000-0000-000058160000}"/>
    <cellStyle name="Normal 4 6 3 2 2 3 2" xfId="14513" xr:uid="{E08DC2A4-7BDD-44CB-9105-F47C0C4C3391}"/>
    <cellStyle name="Normal 4 6 3 2 2 4" xfId="9507" xr:uid="{63E4C3EA-8BE6-4CDE-9E44-1D64049D4CF5}"/>
    <cellStyle name="Normal 4 6 3 2 2 4 2" xfId="18822" xr:uid="{9C135019-01CF-4CB7-9D00-22B994E1A797}"/>
    <cellStyle name="Normal 4 6 3 2 2 5" xfId="10296" xr:uid="{045BC921-3B5E-43F9-98B7-9FAE262B649C}"/>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2EF3C83A-4363-4A29-9197-EFF215A6742F}"/>
    <cellStyle name="Normal 4 6 3 2 3 2 3" xfId="12854" xr:uid="{B76E30E4-A7B2-42C4-8B91-B6F0AA17ACE6}"/>
    <cellStyle name="Normal 4 6 3 2 3 3" xfId="5600" xr:uid="{00000000-0005-0000-0000-00005C160000}"/>
    <cellStyle name="Normal 4 6 3 2 3 3 2" xfId="14926" xr:uid="{6AC1DDAC-8A4C-4B64-999B-F128D9304673}"/>
    <cellStyle name="Normal 4 6 3 2 3 4" xfId="10709" xr:uid="{37735629-BE2E-4892-A23D-6762F4CCC252}"/>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EC1D163F-A876-43DC-B80D-53DED4E0EFC5}"/>
    <cellStyle name="Normal 4 6 3 2 4 2 3" xfId="13267" xr:uid="{704FF6C6-4DEE-4BBB-878D-1E5962165781}"/>
    <cellStyle name="Normal 4 6 3 2 4 3" xfId="6013" xr:uid="{00000000-0005-0000-0000-000060160000}"/>
    <cellStyle name="Normal 4 6 3 2 4 3 2" xfId="15339" xr:uid="{38B163B8-C290-4224-B40A-E094046CE8FD}"/>
    <cellStyle name="Normal 4 6 3 2 4 4" xfId="11122" xr:uid="{40FBE804-C110-400C-88D6-5D344288BD1E}"/>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8BDD456F-20E5-48EB-814A-A5CC4F817C2E}"/>
    <cellStyle name="Normal 4 6 3 2 5 2 3" xfId="13680" xr:uid="{D1B0726F-9573-45FF-BCDB-E3DBAAA0ED40}"/>
    <cellStyle name="Normal 4 6 3 2 5 3" xfId="6426" xr:uid="{00000000-0005-0000-0000-000064160000}"/>
    <cellStyle name="Normal 4 6 3 2 5 3 2" xfId="15752" xr:uid="{EC1FBE91-49FA-4C8A-ACC7-602A09BA6F25}"/>
    <cellStyle name="Normal 4 6 3 2 5 4" xfId="11535" xr:uid="{20EBD145-FD09-4EA1-8BAF-E2B24EC89D82}"/>
    <cellStyle name="Normal 4 6 3 2 6" xfId="2556" xr:uid="{00000000-0005-0000-0000-000065160000}"/>
    <cellStyle name="Normal 4 6 3 2 6 2" xfId="6839" xr:uid="{00000000-0005-0000-0000-000066160000}"/>
    <cellStyle name="Normal 4 6 3 2 6 2 2" xfId="16165" xr:uid="{A82A2A03-CD44-4B95-AAF0-6A0E363BFB47}"/>
    <cellStyle name="Normal 4 6 3 2 6 3" xfId="11948" xr:uid="{5563A4D0-1F01-4D80-9D9A-479CA17B0E49}"/>
    <cellStyle name="Normal 4 6 3 2 7" xfId="4774" xr:uid="{00000000-0005-0000-0000-000067160000}"/>
    <cellStyle name="Normal 4 6 3 2 7 2" xfId="14100" xr:uid="{AAB4EBC5-67EB-4D2F-AAB9-42C72D5C366A}"/>
    <cellStyle name="Normal 4 6 3 2 8" xfId="9082" xr:uid="{B272D1AE-3713-4AD0-AE3F-D1A7344AD432}"/>
    <cellStyle name="Normal 4 6 3 2 8 2" xfId="18406" xr:uid="{226FDA0F-B67D-4E2A-B4B5-616E37A2BAA5}"/>
    <cellStyle name="Normal 4 6 3 2 9" xfId="9883" xr:uid="{B52CA63B-FD78-4D22-96E3-5E49BCB0FCCC}"/>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808191FF-E92B-4D9F-8314-ED328E0D22EA}"/>
    <cellStyle name="Normal 4 6 3 3 2 3" xfId="12440" xr:uid="{3642CBF0-6FF3-4553-8F49-790FC08EA9BA}"/>
    <cellStyle name="Normal 4 6 3 3 3" xfId="5186" xr:uid="{00000000-0005-0000-0000-00006B160000}"/>
    <cellStyle name="Normal 4 6 3 3 3 2" xfId="14512" xr:uid="{96E0FFAE-F75E-419D-AD11-18A430AD7DBC}"/>
    <cellStyle name="Normal 4 6 3 3 4" xfId="9300" xr:uid="{955A2E97-C871-4115-A4F5-A642AE2D2C4B}"/>
    <cellStyle name="Normal 4 6 3 3 4 2" xfId="18615" xr:uid="{8C95E8E8-897F-46D9-8B70-95DE49BAC705}"/>
    <cellStyle name="Normal 4 6 3 3 5" xfId="10295" xr:uid="{0E67A7DE-4106-47C4-935B-16DEA3971A71}"/>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76E6E53C-FF7C-49EE-8400-C9081BF8B931}"/>
    <cellStyle name="Normal 4 6 3 4 2 3" xfId="12853" xr:uid="{AF7EF04C-4BE1-4FA6-AEAD-73A33F32595E}"/>
    <cellStyle name="Normal 4 6 3 4 3" xfId="5599" xr:uid="{00000000-0005-0000-0000-00006F160000}"/>
    <cellStyle name="Normal 4 6 3 4 3 2" xfId="14925" xr:uid="{B2674C02-A89E-4EB0-8F24-3B081D625E79}"/>
    <cellStyle name="Normal 4 6 3 4 4" xfId="10708" xr:uid="{0C30698E-24C5-468A-A22A-3F2B0613077D}"/>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F5CF1ED3-DAAF-4F51-8E54-E926DF51DBE4}"/>
    <cellStyle name="Normal 4 6 3 5 2 3" xfId="13266" xr:uid="{A0907985-F6C3-44AC-910F-28CE096B2DD2}"/>
    <cellStyle name="Normal 4 6 3 5 3" xfId="6012" xr:uid="{00000000-0005-0000-0000-000073160000}"/>
    <cellStyle name="Normal 4 6 3 5 3 2" xfId="15338" xr:uid="{A8EF7203-455C-4142-8C1C-E5EACDDAD19B}"/>
    <cellStyle name="Normal 4 6 3 5 4" xfId="11121" xr:uid="{0D52064A-A1E4-4DA7-976F-2D21077DC578}"/>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C5D4F105-4EF7-46F3-93FD-91899068BFFE}"/>
    <cellStyle name="Normal 4 6 3 6 2 3" xfId="13679" xr:uid="{33DF4F13-BE52-4CE5-9311-1132409D605D}"/>
    <cellStyle name="Normal 4 6 3 6 3" xfId="6425" xr:uid="{00000000-0005-0000-0000-000077160000}"/>
    <cellStyle name="Normal 4 6 3 6 3 2" xfId="15751" xr:uid="{B40EA20E-CFEF-4870-8275-7D06F9DFDD17}"/>
    <cellStyle name="Normal 4 6 3 6 4" xfId="11534" xr:uid="{8CD83862-8A70-4FF6-8A7E-4F22BAD3EA0B}"/>
    <cellStyle name="Normal 4 6 3 7" xfId="2555" xr:uid="{00000000-0005-0000-0000-000078160000}"/>
    <cellStyle name="Normal 4 6 3 7 2" xfId="6838" xr:uid="{00000000-0005-0000-0000-000079160000}"/>
    <cellStyle name="Normal 4 6 3 7 2 2" xfId="16164" xr:uid="{ECD00734-2CC4-4FE4-97F4-E8A052709FC6}"/>
    <cellStyle name="Normal 4 6 3 7 3" xfId="11947" xr:uid="{BDCFEDCC-BC1B-4FE1-86AA-65C290CC4370}"/>
    <cellStyle name="Normal 4 6 3 8" xfId="4773" xr:uid="{00000000-0005-0000-0000-00007A160000}"/>
    <cellStyle name="Normal 4 6 3 8 2" xfId="14099" xr:uid="{236BB3FD-543A-4659-9D02-66B8BE7F4EA6}"/>
    <cellStyle name="Normal 4 6 3 9" xfId="8875" xr:uid="{DFD24C28-B729-444D-A0F6-B5522ED354D5}"/>
    <cellStyle name="Normal 4 6 3 9 2" xfId="18199" xr:uid="{2323580C-29F8-480E-AD1A-66544D055AAE}"/>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2FCED57D-870B-4680-9916-2028A9350CC5}"/>
    <cellStyle name="Normal 4 6 4 2 2 3" xfId="12442" xr:uid="{2A8536FA-1495-4B77-9BBE-A2F277D23E9A}"/>
    <cellStyle name="Normal 4 6 4 2 3" xfId="5188" xr:uid="{00000000-0005-0000-0000-00007F160000}"/>
    <cellStyle name="Normal 4 6 4 2 3 2" xfId="14514" xr:uid="{B720DA8A-4385-41A7-AE75-C313C1DE20F1}"/>
    <cellStyle name="Normal 4 6 4 2 4" xfId="9404" xr:uid="{D1BAB6D6-35EF-4C34-91EA-2EB17352CDF9}"/>
    <cellStyle name="Normal 4 6 4 2 4 2" xfId="18719" xr:uid="{CB6D3DB2-3117-45C0-BC5E-D531F9D0184A}"/>
    <cellStyle name="Normal 4 6 4 2 5" xfId="10297" xr:uid="{3B7A1EEC-9E29-47EE-AE2F-66A1D2DF4580}"/>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6AF76BF9-4D61-46EF-B4A7-90AE8946DCC4}"/>
    <cellStyle name="Normal 4 6 4 3 2 3" xfId="12855" xr:uid="{4F3D6D6F-EBFE-4B3E-BD96-9353A23F6A12}"/>
    <cellStyle name="Normal 4 6 4 3 3" xfId="5601" xr:uid="{00000000-0005-0000-0000-000083160000}"/>
    <cellStyle name="Normal 4 6 4 3 3 2" xfId="14927" xr:uid="{34A3BE42-08B9-49F7-AA14-2E7694B716F8}"/>
    <cellStyle name="Normal 4 6 4 3 4" xfId="10710" xr:uid="{554AD81B-5FFE-4661-BFAD-FB768FAB225B}"/>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69DEB44F-4A74-422A-9CE9-CB9DB8EE1D4C}"/>
    <cellStyle name="Normal 4 6 4 4 2 3" xfId="13268" xr:uid="{9A39C56A-E068-4631-BC8A-457F9B020212}"/>
    <cellStyle name="Normal 4 6 4 4 3" xfId="6014" xr:uid="{00000000-0005-0000-0000-000087160000}"/>
    <cellStyle name="Normal 4 6 4 4 3 2" xfId="15340" xr:uid="{A6E52C37-BDD6-4839-87EC-7458B2F7989F}"/>
    <cellStyle name="Normal 4 6 4 4 4" xfId="11123" xr:uid="{0DA97B29-B738-40E6-A442-304038BBB06C}"/>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BEC82E12-B377-4E59-8B04-C21D6F565B88}"/>
    <cellStyle name="Normal 4 6 4 5 2 3" xfId="13681" xr:uid="{7C7DAF1B-1BD9-41AC-B6F3-2FA2CB8796D5}"/>
    <cellStyle name="Normal 4 6 4 5 3" xfId="6427" xr:uid="{00000000-0005-0000-0000-00008B160000}"/>
    <cellStyle name="Normal 4 6 4 5 3 2" xfId="15753" xr:uid="{FC2F6161-33F8-4906-AD27-8BD5E4ADFA87}"/>
    <cellStyle name="Normal 4 6 4 5 4" xfId="11536" xr:uid="{72062E82-9CA3-479D-B583-86EAE90B6147}"/>
    <cellStyle name="Normal 4 6 4 6" xfId="2557" xr:uid="{00000000-0005-0000-0000-00008C160000}"/>
    <cellStyle name="Normal 4 6 4 6 2" xfId="6840" xr:uid="{00000000-0005-0000-0000-00008D160000}"/>
    <cellStyle name="Normal 4 6 4 6 2 2" xfId="16166" xr:uid="{AE29FF96-1CF5-4815-94DB-88D977CEF641}"/>
    <cellStyle name="Normal 4 6 4 6 3" xfId="11949" xr:uid="{0DB0C543-A7D8-4E61-8911-14FCCD4DA23D}"/>
    <cellStyle name="Normal 4 6 4 7" xfId="4775" xr:uid="{00000000-0005-0000-0000-00008E160000}"/>
    <cellStyle name="Normal 4 6 4 7 2" xfId="14101" xr:uid="{9C39D734-7803-4008-BCF2-85928B1EA00A}"/>
    <cellStyle name="Normal 4 6 4 8" xfId="8979" xr:uid="{358D1440-F461-4509-8416-8F78F7D13FF4}"/>
    <cellStyle name="Normal 4 6 4 8 2" xfId="18303" xr:uid="{4A25E1A4-2517-487A-951A-759CDE84B6F0}"/>
    <cellStyle name="Normal 4 6 4 9" xfId="9884" xr:uid="{D0416471-810E-4312-BFDC-7AD0BD15D1A4}"/>
    <cellStyle name="Normal 4 6 5" xfId="869" xr:uid="{00000000-0005-0000-0000-00008F160000}"/>
    <cellStyle name="Normal 4 6 5 2" xfId="3104" xr:uid="{00000000-0005-0000-0000-000090160000}"/>
    <cellStyle name="Normal 4 6 5 2 2" xfId="7326" xr:uid="{00000000-0005-0000-0000-000091160000}"/>
    <cellStyle name="Normal 4 6 5 2 2 2" xfId="16652" xr:uid="{DBFDC248-8768-4C31-BFB6-24DC90BC3C4F}"/>
    <cellStyle name="Normal 4 6 5 2 3" xfId="12435" xr:uid="{F9F7DE4C-8BF1-470C-99D6-568CD07B214F}"/>
    <cellStyle name="Normal 4 6 5 3" xfId="5181" xr:uid="{00000000-0005-0000-0000-000092160000}"/>
    <cellStyle name="Normal 4 6 5 3 2" xfId="14507" xr:uid="{4EAF5306-461D-4F2C-A658-4776225DD8AC}"/>
    <cellStyle name="Normal 4 6 5 4" xfId="9196" xr:uid="{8DF5D81E-BEC3-4373-A99C-2D9CDEEBBA3C}"/>
    <cellStyle name="Normal 4 6 5 4 2" xfId="18512" xr:uid="{E9C314B6-1C5D-4ABC-B35B-6A111A1209EE}"/>
    <cellStyle name="Normal 4 6 5 5" xfId="10290" xr:uid="{355AB6AE-9844-4A19-8266-6B80EB0245EE}"/>
    <cellStyle name="Normal 4 6 6" xfId="1287" xr:uid="{00000000-0005-0000-0000-000093160000}"/>
    <cellStyle name="Normal 4 6 6 2" xfId="3517" xr:uid="{00000000-0005-0000-0000-000094160000}"/>
    <cellStyle name="Normal 4 6 6 2 2" xfId="7739" xr:uid="{00000000-0005-0000-0000-000095160000}"/>
    <cellStyle name="Normal 4 6 6 2 2 2" xfId="17065" xr:uid="{216E3476-EC59-4EDE-AF67-9445CE769D04}"/>
    <cellStyle name="Normal 4 6 6 2 3" xfId="12848" xr:uid="{C9BDC57C-EFD6-407B-86C9-A8982B8E6B28}"/>
    <cellStyle name="Normal 4 6 6 3" xfId="5594" xr:uid="{00000000-0005-0000-0000-000096160000}"/>
    <cellStyle name="Normal 4 6 6 3 2" xfId="14920" xr:uid="{8D8B1673-BADE-44F7-8BAD-0A9AECEEEC43}"/>
    <cellStyle name="Normal 4 6 6 4" xfId="10703" xr:uid="{39892185-AABC-4361-B6DA-F3B3EDB0FBE8}"/>
    <cellStyle name="Normal 4 6 7" xfId="1700" xr:uid="{00000000-0005-0000-0000-000097160000}"/>
    <cellStyle name="Normal 4 6 7 2" xfId="3930" xr:uid="{00000000-0005-0000-0000-000098160000}"/>
    <cellStyle name="Normal 4 6 7 2 2" xfId="8152" xr:uid="{00000000-0005-0000-0000-000099160000}"/>
    <cellStyle name="Normal 4 6 7 2 2 2" xfId="17478" xr:uid="{BB27BB29-5A7F-4F79-9EC8-52ACFDB8B1CD}"/>
    <cellStyle name="Normal 4 6 7 2 3" xfId="13261" xr:uid="{69C86DFB-2EC2-4B2C-9901-0982397E4C5D}"/>
    <cellStyle name="Normal 4 6 7 3" xfId="6007" xr:uid="{00000000-0005-0000-0000-00009A160000}"/>
    <cellStyle name="Normal 4 6 7 3 2" xfId="15333" xr:uid="{32FCE372-9A21-4BED-8ABE-A2461B71256E}"/>
    <cellStyle name="Normal 4 6 7 4" xfId="11116" xr:uid="{3BB5AC88-61DB-46DB-9603-BBA8DC92795A}"/>
    <cellStyle name="Normal 4 6 8" xfId="2114" xr:uid="{00000000-0005-0000-0000-00009B160000}"/>
    <cellStyle name="Normal 4 6 8 2" xfId="4343" xr:uid="{00000000-0005-0000-0000-00009C160000}"/>
    <cellStyle name="Normal 4 6 8 2 2" xfId="8565" xr:uid="{00000000-0005-0000-0000-00009D160000}"/>
    <cellStyle name="Normal 4 6 8 2 2 2" xfId="17891" xr:uid="{475B8709-2E76-429F-82DE-65359F6EB866}"/>
    <cellStyle name="Normal 4 6 8 2 3" xfId="13674" xr:uid="{29BDB980-893F-4F7D-A44F-804A607B4D2C}"/>
    <cellStyle name="Normal 4 6 8 3" xfId="6420" xr:uid="{00000000-0005-0000-0000-00009E160000}"/>
    <cellStyle name="Normal 4 6 8 3 2" xfId="15746" xr:uid="{6284C79E-0F49-455F-A425-40F65117C8C4}"/>
    <cellStyle name="Normal 4 6 8 4" xfId="11529" xr:uid="{03EA48F6-4146-4780-90CE-AB1C03E6C0B0}"/>
    <cellStyle name="Normal 4 6 9" xfId="2550" xr:uid="{00000000-0005-0000-0000-00009F160000}"/>
    <cellStyle name="Normal 4 6 9 2" xfId="6833" xr:uid="{00000000-0005-0000-0000-0000A0160000}"/>
    <cellStyle name="Normal 4 6 9 2 2" xfId="16159" xr:uid="{6DE83710-0AA1-4D7B-8FA4-56F6C1C9EEC0}"/>
    <cellStyle name="Normal 4 6 9 3" xfId="11942" xr:uid="{C2520D87-F836-42D9-A70E-3F84A9EE5730}"/>
    <cellStyle name="Normal 4 7" xfId="403" xr:uid="{00000000-0005-0000-0000-0000A1160000}"/>
    <cellStyle name="Normal 4 7 10" xfId="9885" xr:uid="{A13D6518-B220-4C3F-B3CE-B57B4A78A8F8}"/>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DC065714-89F9-461F-A622-73168A63D502}"/>
    <cellStyle name="Normal 4 7 2 2 2 3" xfId="12444" xr:uid="{711BBC23-A4E8-4DF7-B9D4-85714B3F51F5}"/>
    <cellStyle name="Normal 4 7 2 2 3" xfId="5190" xr:uid="{00000000-0005-0000-0000-0000A6160000}"/>
    <cellStyle name="Normal 4 7 2 2 3 2" xfId="14516" xr:uid="{C8D5EC5F-188A-4209-A9A8-66A41F24846F}"/>
    <cellStyle name="Normal 4 7 2 2 4" xfId="9475" xr:uid="{1E309EF6-7D7C-4A4D-B2F1-E00D0CF6E167}"/>
    <cellStyle name="Normal 4 7 2 2 4 2" xfId="18790" xr:uid="{AD31E33E-7A20-4D20-A324-9632B03E6E08}"/>
    <cellStyle name="Normal 4 7 2 2 5" xfId="10299" xr:uid="{90AA4CEF-21F6-497F-8477-CC4406717491}"/>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E6D6AEA2-4625-443A-9B2B-35DBEA526662}"/>
    <cellStyle name="Normal 4 7 2 3 2 3" xfId="12857" xr:uid="{EBD28425-0E96-4F00-98EA-31912DD4A835}"/>
    <cellStyle name="Normal 4 7 2 3 3" xfId="5603" xr:uid="{00000000-0005-0000-0000-0000AA160000}"/>
    <cellStyle name="Normal 4 7 2 3 3 2" xfId="14929" xr:uid="{EAEB384C-F059-405E-ADA0-62195B368175}"/>
    <cellStyle name="Normal 4 7 2 3 4" xfId="10712" xr:uid="{4A1E8441-22AC-4BA7-94F3-184F789816CB}"/>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B6BBAD86-C757-4520-B263-832F54CD88E1}"/>
    <cellStyle name="Normal 4 7 2 4 2 3" xfId="13270" xr:uid="{BE4E3018-C05C-4093-B059-0537E999E508}"/>
    <cellStyle name="Normal 4 7 2 4 3" xfId="6016" xr:uid="{00000000-0005-0000-0000-0000AE160000}"/>
    <cellStyle name="Normal 4 7 2 4 3 2" xfId="15342" xr:uid="{3BEDFB9B-9293-4F32-9AAB-28C555363C5E}"/>
    <cellStyle name="Normal 4 7 2 4 4" xfId="11125" xr:uid="{27EE331E-D808-48E5-91C7-576B1931A3E9}"/>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27D62AA1-A589-46A4-B857-305714E4682C}"/>
    <cellStyle name="Normal 4 7 2 5 2 3" xfId="13683" xr:uid="{A41B9264-D27C-404A-8C38-56898168C67D}"/>
    <cellStyle name="Normal 4 7 2 5 3" xfId="6429" xr:uid="{00000000-0005-0000-0000-0000B2160000}"/>
    <cellStyle name="Normal 4 7 2 5 3 2" xfId="15755" xr:uid="{6A209AC6-7A6C-42BF-9562-99746FEB2B6A}"/>
    <cellStyle name="Normal 4 7 2 5 4" xfId="11538" xr:uid="{1BD04A87-87B3-4AEC-85D1-51D000DC2207}"/>
    <cellStyle name="Normal 4 7 2 6" xfId="2559" xr:uid="{00000000-0005-0000-0000-0000B3160000}"/>
    <cellStyle name="Normal 4 7 2 6 2" xfId="6842" xr:uid="{00000000-0005-0000-0000-0000B4160000}"/>
    <cellStyle name="Normal 4 7 2 6 2 2" xfId="16168" xr:uid="{2DBDB2B8-876A-47F0-B3C9-761FDADC2959}"/>
    <cellStyle name="Normal 4 7 2 6 3" xfId="11951" xr:uid="{6D4E68D0-2CD4-4A21-829E-528FE870E410}"/>
    <cellStyle name="Normal 4 7 2 7" xfId="4777" xr:uid="{00000000-0005-0000-0000-0000B5160000}"/>
    <cellStyle name="Normal 4 7 2 7 2" xfId="14103" xr:uid="{6FE21F8A-6C4D-49DD-B71F-DE4BCE35EAEF}"/>
    <cellStyle name="Normal 4 7 2 8" xfId="9050" xr:uid="{C18A0BCD-6C40-47C4-AC72-E06914F008F6}"/>
    <cellStyle name="Normal 4 7 2 8 2" xfId="18374" xr:uid="{1577EA76-D036-434F-B583-AA7F84F72A92}"/>
    <cellStyle name="Normal 4 7 2 9" xfId="9886" xr:uid="{A974A1C2-7E96-438B-919A-189F5B09E673}"/>
    <cellStyle name="Normal 4 7 3" xfId="877" xr:uid="{00000000-0005-0000-0000-0000B6160000}"/>
    <cellStyle name="Normal 4 7 3 2" xfId="3112" xr:uid="{00000000-0005-0000-0000-0000B7160000}"/>
    <cellStyle name="Normal 4 7 3 2 2" xfId="7334" xr:uid="{00000000-0005-0000-0000-0000B8160000}"/>
    <cellStyle name="Normal 4 7 3 2 2 2" xfId="16660" xr:uid="{005A8C91-9856-4BAA-A6DF-7A809F1133C7}"/>
    <cellStyle name="Normal 4 7 3 2 3" xfId="12443" xr:uid="{3213AD6C-53E5-450B-A4AA-09C344CAB167}"/>
    <cellStyle name="Normal 4 7 3 3" xfId="5189" xr:uid="{00000000-0005-0000-0000-0000B9160000}"/>
    <cellStyle name="Normal 4 7 3 3 2" xfId="14515" xr:uid="{DA20D1DE-2831-4876-8F40-CBB3CCEA66E4}"/>
    <cellStyle name="Normal 4 7 3 4" xfId="9268" xr:uid="{83DA99B2-5D77-4110-AEB9-304D3ECEF3EB}"/>
    <cellStyle name="Normal 4 7 3 4 2" xfId="18583" xr:uid="{2DF0DF9D-9907-4625-B7B2-879ED24C45A3}"/>
    <cellStyle name="Normal 4 7 3 5" xfId="10298" xr:uid="{626A420E-181F-4854-B202-271E69D7F969}"/>
    <cellStyle name="Normal 4 7 4" xfId="1295" xr:uid="{00000000-0005-0000-0000-0000BA160000}"/>
    <cellStyle name="Normal 4 7 4 2" xfId="3525" xr:uid="{00000000-0005-0000-0000-0000BB160000}"/>
    <cellStyle name="Normal 4 7 4 2 2" xfId="7747" xr:uid="{00000000-0005-0000-0000-0000BC160000}"/>
    <cellStyle name="Normal 4 7 4 2 2 2" xfId="17073" xr:uid="{9F97DEDF-D49B-4155-8347-AA242C6D6A2B}"/>
    <cellStyle name="Normal 4 7 4 2 3" xfId="12856" xr:uid="{EBDF648F-FC13-443F-8F9E-3A1B0ACA8070}"/>
    <cellStyle name="Normal 4 7 4 3" xfId="5602" xr:uid="{00000000-0005-0000-0000-0000BD160000}"/>
    <cellStyle name="Normal 4 7 4 3 2" xfId="14928" xr:uid="{91A3C5AD-2F98-45F8-BAAC-B76BC2A4993E}"/>
    <cellStyle name="Normal 4 7 4 4" xfId="10711" xr:uid="{9AF36C05-7527-46C3-A6A9-8104D2B30AA2}"/>
    <cellStyle name="Normal 4 7 5" xfId="1708" xr:uid="{00000000-0005-0000-0000-0000BE160000}"/>
    <cellStyle name="Normal 4 7 5 2" xfId="3938" xr:uid="{00000000-0005-0000-0000-0000BF160000}"/>
    <cellStyle name="Normal 4 7 5 2 2" xfId="8160" xr:uid="{00000000-0005-0000-0000-0000C0160000}"/>
    <cellStyle name="Normal 4 7 5 2 2 2" xfId="17486" xr:uid="{448BADC8-3877-4C08-A458-C5D74A6BFF7C}"/>
    <cellStyle name="Normal 4 7 5 2 3" xfId="13269" xr:uid="{ABA3BE0E-5977-4715-AB9C-4378D5B2E8D6}"/>
    <cellStyle name="Normal 4 7 5 3" xfId="6015" xr:uid="{00000000-0005-0000-0000-0000C1160000}"/>
    <cellStyle name="Normal 4 7 5 3 2" xfId="15341" xr:uid="{49C84141-1572-46F2-9778-BE3C6B669C40}"/>
    <cellStyle name="Normal 4 7 5 4" xfId="11124" xr:uid="{41D6E56E-06AB-4C2F-AECB-1B143B33CDCC}"/>
    <cellStyle name="Normal 4 7 6" xfId="2122" xr:uid="{00000000-0005-0000-0000-0000C2160000}"/>
    <cellStyle name="Normal 4 7 6 2" xfId="4351" xr:uid="{00000000-0005-0000-0000-0000C3160000}"/>
    <cellStyle name="Normal 4 7 6 2 2" xfId="8573" xr:uid="{00000000-0005-0000-0000-0000C4160000}"/>
    <cellStyle name="Normal 4 7 6 2 2 2" xfId="17899" xr:uid="{58615A72-CE19-4C59-A531-B738D662D684}"/>
    <cellStyle name="Normal 4 7 6 2 3" xfId="13682" xr:uid="{A4A8BA70-484E-4F50-A91F-0E1F13F20C7C}"/>
    <cellStyle name="Normal 4 7 6 3" xfId="6428" xr:uid="{00000000-0005-0000-0000-0000C5160000}"/>
    <cellStyle name="Normal 4 7 6 3 2" xfId="15754" xr:uid="{25D35FBC-3114-4405-8D2C-087EF9004347}"/>
    <cellStyle name="Normal 4 7 6 4" xfId="11537" xr:uid="{652CBCBC-D8B7-4FEA-A5EB-34610FFB3AE2}"/>
    <cellStyle name="Normal 4 7 7" xfId="2558" xr:uid="{00000000-0005-0000-0000-0000C6160000}"/>
    <cellStyle name="Normal 4 7 7 2" xfId="6841" xr:uid="{00000000-0005-0000-0000-0000C7160000}"/>
    <cellStyle name="Normal 4 7 7 2 2" xfId="16167" xr:uid="{F24C80BD-836C-478D-AC0F-DC809EFB0793}"/>
    <cellStyle name="Normal 4 7 7 3" xfId="11950" xr:uid="{2A272E56-87AA-4AEB-8766-3CA5B2AE26FA}"/>
    <cellStyle name="Normal 4 7 8" xfId="4776" xr:uid="{00000000-0005-0000-0000-0000C8160000}"/>
    <cellStyle name="Normal 4 7 8 2" xfId="14102" xr:uid="{486D889A-7B1D-4762-8756-00E76CCBCCFA}"/>
    <cellStyle name="Normal 4 7 9" xfId="8843" xr:uid="{092972D9-0015-4C5A-94A6-5AFD2026266B}"/>
    <cellStyle name="Normal 4 7 9 2" xfId="18167" xr:uid="{B5D009F1-8EA5-437B-8C4C-8A45F7A39A65}"/>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4D21B7AE-2751-4E89-8215-C139794CEB4B}"/>
    <cellStyle name="Normal 4 8 2 2 3" xfId="12445" xr:uid="{ECFDDCEB-EAA7-4542-8826-71056F8DEDCF}"/>
    <cellStyle name="Normal 4 8 2 3" xfId="5191" xr:uid="{00000000-0005-0000-0000-0000CD160000}"/>
    <cellStyle name="Normal 4 8 2 3 2" xfId="14517" xr:uid="{844F14E9-05D5-4931-9CAA-206201C05977}"/>
    <cellStyle name="Normal 4 8 2 4" xfId="9384" xr:uid="{6351F1DA-E485-4044-8429-C0AE76E79EEE}"/>
    <cellStyle name="Normal 4 8 2 4 2" xfId="18699" xr:uid="{D3CC2C6B-C412-4E75-9FAD-DE5FE50EA35F}"/>
    <cellStyle name="Normal 4 8 2 5" xfId="10300" xr:uid="{13573FAF-A4F8-4D6B-88C6-15C8154BC140}"/>
    <cellStyle name="Normal 4 8 3" xfId="1297" xr:uid="{00000000-0005-0000-0000-0000CE160000}"/>
    <cellStyle name="Normal 4 8 3 2" xfId="3527" xr:uid="{00000000-0005-0000-0000-0000CF160000}"/>
    <cellStyle name="Normal 4 8 3 2 2" xfId="7749" xr:uid="{00000000-0005-0000-0000-0000D0160000}"/>
    <cellStyle name="Normal 4 8 3 2 2 2" xfId="17075" xr:uid="{852DBD9E-2DDF-401D-B8B6-95CCE680E4E5}"/>
    <cellStyle name="Normal 4 8 3 2 3" xfId="12858" xr:uid="{0205E7DC-0273-4A48-9E0A-B51E1F390878}"/>
    <cellStyle name="Normal 4 8 3 3" xfId="5604" xr:uid="{00000000-0005-0000-0000-0000D1160000}"/>
    <cellStyle name="Normal 4 8 3 3 2" xfId="14930" xr:uid="{736A64A7-BFB1-48F1-A9AB-141D89930A22}"/>
    <cellStyle name="Normal 4 8 3 4" xfId="10713" xr:uid="{169C88E2-1FA0-474F-8B1B-DF64E1FE34EA}"/>
    <cellStyle name="Normal 4 8 4" xfId="1710" xr:uid="{00000000-0005-0000-0000-0000D2160000}"/>
    <cellStyle name="Normal 4 8 4 2" xfId="3940" xr:uid="{00000000-0005-0000-0000-0000D3160000}"/>
    <cellStyle name="Normal 4 8 4 2 2" xfId="8162" xr:uid="{00000000-0005-0000-0000-0000D4160000}"/>
    <cellStyle name="Normal 4 8 4 2 2 2" xfId="17488" xr:uid="{A9092DEA-AFEF-49DD-AF85-3C9290BF6BD0}"/>
    <cellStyle name="Normal 4 8 4 2 3" xfId="13271" xr:uid="{678C8BC4-D3CB-40BB-80C0-1DE1C73F91D7}"/>
    <cellStyle name="Normal 4 8 4 3" xfId="6017" xr:uid="{00000000-0005-0000-0000-0000D5160000}"/>
    <cellStyle name="Normal 4 8 4 3 2" xfId="15343" xr:uid="{972D73F5-8F95-4651-A86F-A36819C75B7A}"/>
    <cellStyle name="Normal 4 8 4 4" xfId="11126" xr:uid="{9550A55F-5893-4F1D-8B99-D57509CEBDA9}"/>
    <cellStyle name="Normal 4 8 5" xfId="2124" xr:uid="{00000000-0005-0000-0000-0000D6160000}"/>
    <cellStyle name="Normal 4 8 5 2" xfId="4353" xr:uid="{00000000-0005-0000-0000-0000D7160000}"/>
    <cellStyle name="Normal 4 8 5 2 2" xfId="8575" xr:uid="{00000000-0005-0000-0000-0000D8160000}"/>
    <cellStyle name="Normal 4 8 5 2 2 2" xfId="17901" xr:uid="{1DB584C2-F631-4CE6-91DF-30CB35612C35}"/>
    <cellStyle name="Normal 4 8 5 2 3" xfId="13684" xr:uid="{8D69CA77-9DB0-4C68-B2F6-1FC5E6BF0074}"/>
    <cellStyle name="Normal 4 8 5 3" xfId="6430" xr:uid="{00000000-0005-0000-0000-0000D9160000}"/>
    <cellStyle name="Normal 4 8 5 3 2" xfId="15756" xr:uid="{14190B3E-5979-40E5-BB0A-00AF509B7A74}"/>
    <cellStyle name="Normal 4 8 5 4" xfId="11539" xr:uid="{A8A08F7C-C9F1-4C8A-94F8-B350F3B8A335}"/>
    <cellStyle name="Normal 4 8 6" xfId="2560" xr:uid="{00000000-0005-0000-0000-0000DA160000}"/>
    <cellStyle name="Normal 4 8 6 2" xfId="6843" xr:uid="{00000000-0005-0000-0000-0000DB160000}"/>
    <cellStyle name="Normal 4 8 6 2 2" xfId="16169" xr:uid="{6253CDAE-6561-4B81-B135-7E8E4833D0D3}"/>
    <cellStyle name="Normal 4 8 6 3" xfId="11952" xr:uid="{2A3AE050-715F-4209-84A2-711E6D4F186C}"/>
    <cellStyle name="Normal 4 8 7" xfId="4778" xr:uid="{00000000-0005-0000-0000-0000DC160000}"/>
    <cellStyle name="Normal 4 8 7 2" xfId="14104" xr:uid="{78413C27-0D71-4836-AD7E-76ADF4586248}"/>
    <cellStyle name="Normal 4 8 8" xfId="8959" xr:uid="{E3216EF3-66EB-48FF-967C-A258B3C3F4FF}"/>
    <cellStyle name="Normal 4 8 8 2" xfId="18283" xr:uid="{B3F601BA-425C-4519-A5E8-695E64AAB022}"/>
    <cellStyle name="Normal 4 8 9" xfId="9887" xr:uid="{4289DA6E-7A2C-417E-9ADB-E3273A858864}"/>
    <cellStyle name="Normal 4 9" xfId="4715" xr:uid="{00000000-0005-0000-0000-0000DD160000}"/>
    <cellStyle name="Normal 4 9 2" xfId="9162" xr:uid="{BC355FAB-4557-4712-A03F-EB5522B29E6A}"/>
    <cellStyle name="Normal 4 9 2 2" xfId="18480" xr:uid="{413E11BE-835F-4257-A831-6D30FEB49DD5}"/>
    <cellStyle name="Normal 4 9 3" xfId="14041" xr:uid="{68CBA45D-A101-4E5D-8695-07B5A3A17823}"/>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E10D2D00-7BB0-409E-BA51-D36AE56FD6B0}"/>
    <cellStyle name="Normal 5 10 2 3" xfId="13272" xr:uid="{F44B6FFA-DA19-4195-AA25-068FE5EA46DF}"/>
    <cellStyle name="Normal 5 10 3" xfId="6018" xr:uid="{00000000-0005-0000-0000-0000E2160000}"/>
    <cellStyle name="Normal 5 10 3 2" xfId="15344" xr:uid="{6531C051-12A8-4856-B607-7654A6AB4929}"/>
    <cellStyle name="Normal 5 10 4" xfId="11127" xr:uid="{4D2BB319-146D-42D3-90DE-320AB7BB9565}"/>
    <cellStyle name="Normal 5 11" xfId="2125" xr:uid="{00000000-0005-0000-0000-0000E3160000}"/>
    <cellStyle name="Normal 5 11 2" xfId="4354" xr:uid="{00000000-0005-0000-0000-0000E4160000}"/>
    <cellStyle name="Normal 5 11 2 2" xfId="8576" xr:uid="{00000000-0005-0000-0000-0000E5160000}"/>
    <cellStyle name="Normal 5 11 2 2 2" xfId="17902" xr:uid="{A7419327-333F-40C4-B7BB-0FC44D06DA14}"/>
    <cellStyle name="Normal 5 11 2 3" xfId="13685" xr:uid="{A3DDC3C0-BAAC-405E-B464-21224DF1A4B5}"/>
    <cellStyle name="Normal 5 11 3" xfId="6431" xr:uid="{00000000-0005-0000-0000-0000E6160000}"/>
    <cellStyle name="Normal 5 11 3 2" xfId="15757" xr:uid="{B8B3E5A8-3D54-484D-B266-E00CC4BF87C3}"/>
    <cellStyle name="Normal 5 11 4" xfId="11540" xr:uid="{B888E518-3D93-41EE-A6B9-F1DD1FDBB62B}"/>
    <cellStyle name="Normal 5 12" xfId="2561" xr:uid="{00000000-0005-0000-0000-0000E7160000}"/>
    <cellStyle name="Normal 5 12 2" xfId="6844" xr:uid="{00000000-0005-0000-0000-0000E8160000}"/>
    <cellStyle name="Normal 5 12 2 2" xfId="16170" xr:uid="{8C6314A6-AB6D-4A01-8FAA-D866E908EA98}"/>
    <cellStyle name="Normal 5 12 3" xfId="11953" xr:uid="{5B88F403-B04D-46FC-A26E-48F9C7792881}"/>
    <cellStyle name="Normal 5 13" xfId="4779" xr:uid="{00000000-0005-0000-0000-0000E9160000}"/>
    <cellStyle name="Normal 5 13 2" xfId="14105" xr:uid="{AB40502C-E4C4-4268-B8FB-8AEA830DA883}"/>
    <cellStyle name="Normal 5 14" xfId="8741" xr:uid="{6467398C-BC57-47BF-AF01-9B3356F8431F}"/>
    <cellStyle name="Normal 5 14 2" xfId="18065" xr:uid="{01E281F5-D51F-4E09-B6DC-1AB7E0A35DD3}"/>
    <cellStyle name="Normal 5 15" xfId="9888" xr:uid="{5E9A17AA-A5EB-4D22-BF70-FF0B6EC7F08B}"/>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626F5D22-A311-4D5D-8670-9A82FDA37F45}"/>
    <cellStyle name="Normal 5 2 10 2 3" xfId="13686" xr:uid="{049184B4-325F-4B91-88A3-FB9254F07803}"/>
    <cellStyle name="Normal 5 2 10 3" xfId="6432" xr:uid="{00000000-0005-0000-0000-0000EE160000}"/>
    <cellStyle name="Normal 5 2 10 3 2" xfId="15758" xr:uid="{F64F6A9A-9755-4BE3-93AD-76D232669715}"/>
    <cellStyle name="Normal 5 2 10 4" xfId="11541" xr:uid="{F236FD38-F027-4A95-A261-8CE5D2A23D1B}"/>
    <cellStyle name="Normal 5 2 11" xfId="2562" xr:uid="{00000000-0005-0000-0000-0000EF160000}"/>
    <cellStyle name="Normal 5 2 11 2" xfId="6845" xr:uid="{00000000-0005-0000-0000-0000F0160000}"/>
    <cellStyle name="Normal 5 2 11 2 2" xfId="16171" xr:uid="{71C58D0B-DB31-4FA8-BC58-5B093A7FD454}"/>
    <cellStyle name="Normal 5 2 11 3" xfId="11954" xr:uid="{730355A3-2EE7-4C88-B469-883BF16AF0EC}"/>
    <cellStyle name="Normal 5 2 12" xfId="4780" xr:uid="{00000000-0005-0000-0000-0000F1160000}"/>
    <cellStyle name="Normal 5 2 12 2" xfId="14106" xr:uid="{86BB1434-C43B-4213-9117-ECA42A497B90}"/>
    <cellStyle name="Normal 5 2 13" xfId="8744" xr:uid="{40D5DF2B-E9DF-4D52-AAE0-3E5A94050B59}"/>
    <cellStyle name="Normal 5 2 13 2" xfId="18068" xr:uid="{BCB88217-6054-41FB-AF6B-71D2D51375E2}"/>
    <cellStyle name="Normal 5 2 14" xfId="9889" xr:uid="{57C256D5-3EFE-45E7-AF92-8A9AFE613E91}"/>
    <cellStyle name="Normal 5 2 2" xfId="408" xr:uid="{00000000-0005-0000-0000-0000F2160000}"/>
    <cellStyle name="Normal 5 2 2 10" xfId="2563" xr:uid="{00000000-0005-0000-0000-0000F3160000}"/>
    <cellStyle name="Normal 5 2 2 10 2" xfId="6846" xr:uid="{00000000-0005-0000-0000-0000F4160000}"/>
    <cellStyle name="Normal 5 2 2 10 2 2" xfId="16172" xr:uid="{99F5BFE5-2E64-40E5-AC10-9874D60BA758}"/>
    <cellStyle name="Normal 5 2 2 10 3" xfId="11955" xr:uid="{DDE983E0-EFCB-47E8-9D2A-05A60BF9600F}"/>
    <cellStyle name="Normal 5 2 2 11" xfId="4781" xr:uid="{00000000-0005-0000-0000-0000F5160000}"/>
    <cellStyle name="Normal 5 2 2 11 2" xfId="14107" xr:uid="{19B3A523-49B9-48F0-853F-C8D9973E801A}"/>
    <cellStyle name="Normal 5 2 2 12" xfId="8753" xr:uid="{96D04E2F-D92F-448D-9FDA-8261D8BEE094}"/>
    <cellStyle name="Normal 5 2 2 12 2" xfId="18077" xr:uid="{A62D8B35-A42A-4191-A548-E99CA198F2D5}"/>
    <cellStyle name="Normal 5 2 2 13" xfId="9890" xr:uid="{57C62C48-C8C5-45C4-81DE-EC053ED62161}"/>
    <cellStyle name="Normal 5 2 2 2" xfId="409" xr:uid="{00000000-0005-0000-0000-0000F6160000}"/>
    <cellStyle name="Normal 5 2 2 2 10" xfId="4782" xr:uid="{00000000-0005-0000-0000-0000F7160000}"/>
    <cellStyle name="Normal 5 2 2 2 10 2" xfId="14108" xr:uid="{B026F744-A4F3-474B-9F39-CB6021288C58}"/>
    <cellStyle name="Normal 5 2 2 2 11" xfId="8771" xr:uid="{0E58ED1C-12F1-4692-801F-170CA6F7CBDB}"/>
    <cellStyle name="Normal 5 2 2 2 11 2" xfId="18095" xr:uid="{050F8AE1-DD74-4501-BBC8-7A115B83B1D6}"/>
    <cellStyle name="Normal 5 2 2 2 12" xfId="9891" xr:uid="{9E9E693D-C156-4580-B44E-3329EEE214C5}"/>
    <cellStyle name="Normal 5 2 2 2 2" xfId="410" xr:uid="{00000000-0005-0000-0000-0000F8160000}"/>
    <cellStyle name="Normal 5 2 2 2 2 10" xfId="8829" xr:uid="{AC161972-21E9-4E03-8D2E-9F95632CB08D}"/>
    <cellStyle name="Normal 5 2 2 2 2 10 2" xfId="18153" xr:uid="{77CB6F2E-A845-4197-A5E1-9CB874E4B444}"/>
    <cellStyle name="Normal 5 2 2 2 2 11" xfId="9892" xr:uid="{19AD717A-FD65-4751-95C3-13BFBD01196C}"/>
    <cellStyle name="Normal 5 2 2 2 2 2" xfId="411" xr:uid="{00000000-0005-0000-0000-0000F9160000}"/>
    <cellStyle name="Normal 5 2 2 2 2 2 10" xfId="9893" xr:uid="{28D33D2D-37D4-473B-A9DD-868E5BFA5E11}"/>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37CBA327-C592-49AD-AF57-306549ED52B2}"/>
    <cellStyle name="Normal 5 2 2 2 2 2 2 2 2 3" xfId="12452" xr:uid="{F7EDE8B8-BFD1-4F7C-B37B-7567C904B5C8}"/>
    <cellStyle name="Normal 5 2 2 2 2 2 2 2 3" xfId="5198" xr:uid="{00000000-0005-0000-0000-0000FE160000}"/>
    <cellStyle name="Normal 5 2 2 2 2 2 2 2 3 2" xfId="14524" xr:uid="{AD1A03BC-6DC9-419A-BEA3-019D568C90E4}"/>
    <cellStyle name="Normal 5 2 2 2 2 2 2 2 4" xfId="9564" xr:uid="{15884BE4-44C0-46E7-A184-FC102AAADEB4}"/>
    <cellStyle name="Normal 5 2 2 2 2 2 2 2 4 2" xfId="18879" xr:uid="{DC309268-B86A-4B91-AF2E-789FEBD11878}"/>
    <cellStyle name="Normal 5 2 2 2 2 2 2 2 5" xfId="10307" xr:uid="{FE0FE53B-618D-45BD-AB7E-1742B6AE5BA3}"/>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7FABBEC9-BA8A-411F-B74E-0C96559F828E}"/>
    <cellStyle name="Normal 5 2 2 2 2 2 2 3 2 3" xfId="12865" xr:uid="{A9773B64-710F-42DE-AE59-7948C8D87B19}"/>
    <cellStyle name="Normal 5 2 2 2 2 2 2 3 3" xfId="5611" xr:uid="{00000000-0005-0000-0000-000002170000}"/>
    <cellStyle name="Normal 5 2 2 2 2 2 2 3 3 2" xfId="14937" xr:uid="{743FBC30-B111-475C-BCB6-A65E8C68C80E}"/>
    <cellStyle name="Normal 5 2 2 2 2 2 2 3 4" xfId="10720" xr:uid="{6BC3C99E-153A-47D3-BD67-798A88C3C3E8}"/>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8D6AAF8E-FA27-4721-8DD6-D2BD59D43491}"/>
    <cellStyle name="Normal 5 2 2 2 2 2 2 4 2 3" xfId="13278" xr:uid="{59FB4AC1-D369-466F-9722-B87767145FC4}"/>
    <cellStyle name="Normal 5 2 2 2 2 2 2 4 3" xfId="6024" xr:uid="{00000000-0005-0000-0000-000006170000}"/>
    <cellStyle name="Normal 5 2 2 2 2 2 2 4 3 2" xfId="15350" xr:uid="{844D3610-75FA-4A76-BFF6-67FB3DB39943}"/>
    <cellStyle name="Normal 5 2 2 2 2 2 2 4 4" xfId="11133" xr:uid="{3F0E9874-CA97-4953-85D0-352793E6F2C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8726035D-22EC-4F40-AD86-5BD1946453D7}"/>
    <cellStyle name="Normal 5 2 2 2 2 2 2 5 2 3" xfId="13691" xr:uid="{EC28CFCF-C2D9-4D3C-97B5-B4C3472918F8}"/>
    <cellStyle name="Normal 5 2 2 2 2 2 2 5 3" xfId="6437" xr:uid="{00000000-0005-0000-0000-00000A170000}"/>
    <cellStyle name="Normal 5 2 2 2 2 2 2 5 3 2" xfId="15763" xr:uid="{8882816F-0C9C-4CBD-8D9C-8F9E1C08593F}"/>
    <cellStyle name="Normal 5 2 2 2 2 2 2 5 4" xfId="11546" xr:uid="{3F604136-AFB7-44AB-AC6F-5F9447FDC9F9}"/>
    <cellStyle name="Normal 5 2 2 2 2 2 2 6" xfId="2567" xr:uid="{00000000-0005-0000-0000-00000B170000}"/>
    <cellStyle name="Normal 5 2 2 2 2 2 2 6 2" xfId="6850" xr:uid="{00000000-0005-0000-0000-00000C170000}"/>
    <cellStyle name="Normal 5 2 2 2 2 2 2 6 2 2" xfId="16176" xr:uid="{64C64134-FA3E-4912-9E76-ADFCEED00874}"/>
    <cellStyle name="Normal 5 2 2 2 2 2 2 6 3" xfId="11959" xr:uid="{6D93D22D-CCB6-4306-B2AC-E97B2A0510F0}"/>
    <cellStyle name="Normal 5 2 2 2 2 2 2 7" xfId="4785" xr:uid="{00000000-0005-0000-0000-00000D170000}"/>
    <cellStyle name="Normal 5 2 2 2 2 2 2 7 2" xfId="14111" xr:uid="{F4C44B7B-726E-4C5A-AB6B-C97D104EC7F6}"/>
    <cellStyle name="Normal 5 2 2 2 2 2 2 8" xfId="9139" xr:uid="{CFCC7179-F81D-4929-81F2-C6E64655A093}"/>
    <cellStyle name="Normal 5 2 2 2 2 2 2 8 2" xfId="18463" xr:uid="{280C4105-1114-4109-8BA0-7E2D86B751FA}"/>
    <cellStyle name="Normal 5 2 2 2 2 2 2 9" xfId="9894" xr:uid="{DDFD8BAC-B481-4263-9103-50E9B248FDDD}"/>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54BDD211-4C57-4899-8D23-BAEDEEE58896}"/>
    <cellStyle name="Normal 5 2 2 2 2 2 3 2 3" xfId="12451" xr:uid="{8454D279-B92B-488A-BCFD-91DFAAF05175}"/>
    <cellStyle name="Normal 5 2 2 2 2 2 3 3" xfId="5197" xr:uid="{00000000-0005-0000-0000-000011170000}"/>
    <cellStyle name="Normal 5 2 2 2 2 2 3 3 2" xfId="14523" xr:uid="{407B3D9E-BE08-46C9-B368-7F8EB6AA38A9}"/>
    <cellStyle name="Normal 5 2 2 2 2 2 3 4" xfId="9357" xr:uid="{1809EB60-9E69-4954-99A5-643CD830C5FB}"/>
    <cellStyle name="Normal 5 2 2 2 2 2 3 4 2" xfId="18672" xr:uid="{E458523D-7C1A-4502-9DDC-0369CA4B2259}"/>
    <cellStyle name="Normal 5 2 2 2 2 2 3 5" xfId="10306" xr:uid="{D9C81798-9C66-4532-B7A3-ADE888EC6113}"/>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4A3B7F40-7342-4336-9C2C-7A6838E563E8}"/>
    <cellStyle name="Normal 5 2 2 2 2 2 4 2 3" xfId="12864" xr:uid="{916B7EAB-575D-43B9-819D-F683EBAA7C9E}"/>
    <cellStyle name="Normal 5 2 2 2 2 2 4 3" xfId="5610" xr:uid="{00000000-0005-0000-0000-000015170000}"/>
    <cellStyle name="Normal 5 2 2 2 2 2 4 3 2" xfId="14936" xr:uid="{ADE90051-8393-419A-9C21-53B1F1243E1B}"/>
    <cellStyle name="Normal 5 2 2 2 2 2 4 4" xfId="10719" xr:uid="{DC489FB2-DD7C-445E-B569-89D2F1ED43C8}"/>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D0943A18-1DC2-4FD6-9F6D-D0ACB8876792}"/>
    <cellStyle name="Normal 5 2 2 2 2 2 5 2 3" xfId="13277" xr:uid="{98C6E7C2-86DC-4EC4-A918-9551B9F29FE6}"/>
    <cellStyle name="Normal 5 2 2 2 2 2 5 3" xfId="6023" xr:uid="{00000000-0005-0000-0000-000019170000}"/>
    <cellStyle name="Normal 5 2 2 2 2 2 5 3 2" xfId="15349" xr:uid="{3A520D0E-0E19-4657-BABE-F6F007032D9A}"/>
    <cellStyle name="Normal 5 2 2 2 2 2 5 4" xfId="11132" xr:uid="{BBEB880E-F028-4064-AE67-9DB6F361C221}"/>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EA25ABAD-331D-4D67-B097-93250A4B035A}"/>
    <cellStyle name="Normal 5 2 2 2 2 2 6 2 3" xfId="13690" xr:uid="{0A46422D-02EF-4CD9-AE1D-1997179E20F2}"/>
    <cellStyle name="Normal 5 2 2 2 2 2 6 3" xfId="6436" xr:uid="{00000000-0005-0000-0000-00001D170000}"/>
    <cellStyle name="Normal 5 2 2 2 2 2 6 3 2" xfId="15762" xr:uid="{384D9970-31D1-474C-80F3-94512A4E6BC3}"/>
    <cellStyle name="Normal 5 2 2 2 2 2 6 4" xfId="11545" xr:uid="{1A4538A4-2149-4F3C-9F7D-B49EC3787419}"/>
    <cellStyle name="Normal 5 2 2 2 2 2 7" xfId="2566" xr:uid="{00000000-0005-0000-0000-00001E170000}"/>
    <cellStyle name="Normal 5 2 2 2 2 2 7 2" xfId="6849" xr:uid="{00000000-0005-0000-0000-00001F170000}"/>
    <cellStyle name="Normal 5 2 2 2 2 2 7 2 2" xfId="16175" xr:uid="{ECF2FE3E-E20A-4D04-B740-6D3AABA8A5A3}"/>
    <cellStyle name="Normal 5 2 2 2 2 2 7 3" xfId="11958" xr:uid="{E1B491FB-FEC1-4DD5-9158-0D3077CAA8CE}"/>
    <cellStyle name="Normal 5 2 2 2 2 2 8" xfId="4784" xr:uid="{00000000-0005-0000-0000-000020170000}"/>
    <cellStyle name="Normal 5 2 2 2 2 2 8 2" xfId="14110" xr:uid="{42FA36A3-D9B6-4683-874C-887A180DE808}"/>
    <cellStyle name="Normal 5 2 2 2 2 2 9" xfId="8932" xr:uid="{8A89D9DD-5FCE-4028-8D52-F4758EFA866E}"/>
    <cellStyle name="Normal 5 2 2 2 2 2 9 2" xfId="18256" xr:uid="{AB397F47-F6D1-491E-8204-57DF78BC5AD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00298859-492B-4AAA-805D-C2D424A077DD}"/>
    <cellStyle name="Normal 5 2 2 2 2 3 2 2 3" xfId="12453" xr:uid="{19C4972C-91B9-4EC1-B585-8507388789A0}"/>
    <cellStyle name="Normal 5 2 2 2 2 3 2 3" xfId="5199" xr:uid="{00000000-0005-0000-0000-000025170000}"/>
    <cellStyle name="Normal 5 2 2 2 2 3 2 3 2" xfId="14525" xr:uid="{F1B07DCD-4D40-4E84-B5B5-C21A8C7741D6}"/>
    <cellStyle name="Normal 5 2 2 2 2 3 2 4" xfId="9461" xr:uid="{815E4D9A-ED64-4B6C-A17A-F6D83CC40A47}"/>
    <cellStyle name="Normal 5 2 2 2 2 3 2 4 2" xfId="18776" xr:uid="{751253C3-0ED7-4689-ADAA-3EED0605084B}"/>
    <cellStyle name="Normal 5 2 2 2 2 3 2 5" xfId="10308" xr:uid="{7C4A9D02-D292-4E3B-B550-023A4479C494}"/>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543A92B1-4270-4BE8-9094-A40D5107D5E2}"/>
    <cellStyle name="Normal 5 2 2 2 2 3 3 2 3" xfId="12866" xr:uid="{3A742BBC-B0DD-40FE-93BF-F575ADFA4D9B}"/>
    <cellStyle name="Normal 5 2 2 2 2 3 3 3" xfId="5612" xr:uid="{00000000-0005-0000-0000-000029170000}"/>
    <cellStyle name="Normal 5 2 2 2 2 3 3 3 2" xfId="14938" xr:uid="{44909247-9110-407D-A451-CE7A85723F8F}"/>
    <cellStyle name="Normal 5 2 2 2 2 3 3 4" xfId="10721" xr:uid="{688FB5DD-D6BE-4FD1-8A1D-2F2D5FFE8D18}"/>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9F73B07D-6BC5-43C9-83D4-74DC0FB9AAB9}"/>
    <cellStyle name="Normal 5 2 2 2 2 3 4 2 3" xfId="13279" xr:uid="{E23801FD-0000-4D1C-9ECC-DA2B455D655F}"/>
    <cellStyle name="Normal 5 2 2 2 2 3 4 3" xfId="6025" xr:uid="{00000000-0005-0000-0000-00002D170000}"/>
    <cellStyle name="Normal 5 2 2 2 2 3 4 3 2" xfId="15351" xr:uid="{662DDB78-7778-431A-B186-B7E9A5C26A96}"/>
    <cellStyle name="Normal 5 2 2 2 2 3 4 4" xfId="11134" xr:uid="{F1B6EA5D-E4FF-4CE2-9043-6F7485337075}"/>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BC0A0583-DE1F-4AFB-92B5-ABCB68014FDB}"/>
    <cellStyle name="Normal 5 2 2 2 2 3 5 2 3" xfId="13692" xr:uid="{E33379CD-7E45-4CF4-B74F-F95A2F4761E3}"/>
    <cellStyle name="Normal 5 2 2 2 2 3 5 3" xfId="6438" xr:uid="{00000000-0005-0000-0000-000031170000}"/>
    <cellStyle name="Normal 5 2 2 2 2 3 5 3 2" xfId="15764" xr:uid="{F937C99E-D6C7-4331-AF6F-C7698C8F7474}"/>
    <cellStyle name="Normal 5 2 2 2 2 3 5 4" xfId="11547" xr:uid="{D72B7450-4624-4BFB-87C0-A34D89CE0FB6}"/>
    <cellStyle name="Normal 5 2 2 2 2 3 6" xfId="2568" xr:uid="{00000000-0005-0000-0000-000032170000}"/>
    <cellStyle name="Normal 5 2 2 2 2 3 6 2" xfId="6851" xr:uid="{00000000-0005-0000-0000-000033170000}"/>
    <cellStyle name="Normal 5 2 2 2 2 3 6 2 2" xfId="16177" xr:uid="{E9DCDF00-04E8-4DE9-9B23-4ADB7DDB81CA}"/>
    <cellStyle name="Normal 5 2 2 2 2 3 6 3" xfId="11960" xr:uid="{BFCEB732-F126-489C-936C-D77B15FF5080}"/>
    <cellStyle name="Normal 5 2 2 2 2 3 7" xfId="4786" xr:uid="{00000000-0005-0000-0000-000034170000}"/>
    <cellStyle name="Normal 5 2 2 2 2 3 7 2" xfId="14112" xr:uid="{9A5FE56C-5DA0-4A39-A5C4-6BA9360EB67F}"/>
    <cellStyle name="Normal 5 2 2 2 2 3 8" xfId="9036" xr:uid="{2B9BC3AC-900A-42EE-A23F-E5574B6E75BC}"/>
    <cellStyle name="Normal 5 2 2 2 2 3 8 2" xfId="18360" xr:uid="{4B812A01-CE6E-4604-BC50-95393A0C6404}"/>
    <cellStyle name="Normal 5 2 2 2 2 3 9" xfId="9895" xr:uid="{20E551F4-0EA7-4F8F-BA56-CD5B7F485C1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01AEBDDC-6EDD-4AAA-9AE1-A5A4010B1E72}"/>
    <cellStyle name="Normal 5 2 2 2 2 4 2 3" xfId="12450" xr:uid="{06CFA75E-350A-448F-AFB6-AB998FF9C0D0}"/>
    <cellStyle name="Normal 5 2 2 2 2 4 3" xfId="5196" xr:uid="{00000000-0005-0000-0000-000038170000}"/>
    <cellStyle name="Normal 5 2 2 2 2 4 3 2" xfId="14522" xr:uid="{7F005A02-3496-4B20-BC6D-795D7CA39972}"/>
    <cellStyle name="Normal 5 2 2 2 2 4 4" xfId="9254" xr:uid="{B0B4DA0D-4C0F-4712-8BF0-280C2A85D575}"/>
    <cellStyle name="Normal 5 2 2 2 2 4 4 2" xfId="18569" xr:uid="{643BCBF7-98D7-4751-8F1D-1927824C917E}"/>
    <cellStyle name="Normal 5 2 2 2 2 4 5" xfId="10305" xr:uid="{909AD297-3D0E-4630-AEBD-97876B73A5E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F0675866-19E9-4E32-A78E-D51B64C163B3}"/>
    <cellStyle name="Normal 5 2 2 2 2 5 2 3" xfId="12863" xr:uid="{2BF1CD0E-D3F2-49A0-88C6-16BDDA544246}"/>
    <cellStyle name="Normal 5 2 2 2 2 5 3" xfId="5609" xr:uid="{00000000-0005-0000-0000-00003C170000}"/>
    <cellStyle name="Normal 5 2 2 2 2 5 3 2" xfId="14935" xr:uid="{6841530E-F78E-4F13-BA3A-3DECA5ABECCE}"/>
    <cellStyle name="Normal 5 2 2 2 2 5 4" xfId="10718" xr:uid="{E66AD821-111A-408C-A6E9-D5343C65D869}"/>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53FE2FD5-2366-4EFA-8112-6DC9B561601D}"/>
    <cellStyle name="Normal 5 2 2 2 2 6 2 3" xfId="13276" xr:uid="{0248A470-B228-4189-BA10-F0990117D70C}"/>
    <cellStyle name="Normal 5 2 2 2 2 6 3" xfId="6022" xr:uid="{00000000-0005-0000-0000-000040170000}"/>
    <cellStyle name="Normal 5 2 2 2 2 6 3 2" xfId="15348" xr:uid="{6621F9A2-7F49-4D2D-B3CC-3445F262F1CE}"/>
    <cellStyle name="Normal 5 2 2 2 2 6 4" xfId="11131" xr:uid="{65D3F926-091B-44A9-AA41-8E5A0B248F9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C70EC664-4971-4522-AE2D-1990F7F92BA6}"/>
    <cellStyle name="Normal 5 2 2 2 2 7 2 3" xfId="13689" xr:uid="{F2D252A8-CEB8-4443-828D-81DBA9A10E04}"/>
    <cellStyle name="Normal 5 2 2 2 2 7 3" xfId="6435" xr:uid="{00000000-0005-0000-0000-000044170000}"/>
    <cellStyle name="Normal 5 2 2 2 2 7 3 2" xfId="15761" xr:uid="{3B8D8952-537B-4350-99B5-EB21C6BFC3FA}"/>
    <cellStyle name="Normal 5 2 2 2 2 7 4" xfId="11544" xr:uid="{CB0DAC5F-5937-44AF-B190-17783EAB4EE6}"/>
    <cellStyle name="Normal 5 2 2 2 2 8" xfId="2565" xr:uid="{00000000-0005-0000-0000-000045170000}"/>
    <cellStyle name="Normal 5 2 2 2 2 8 2" xfId="6848" xr:uid="{00000000-0005-0000-0000-000046170000}"/>
    <cellStyle name="Normal 5 2 2 2 2 8 2 2" xfId="16174" xr:uid="{D9235E4C-5AD3-45F9-B0A6-55E355B5D1D2}"/>
    <cellStyle name="Normal 5 2 2 2 2 8 3" xfId="11957" xr:uid="{4FB51CE5-1738-4FC4-9475-076314975AB9}"/>
    <cellStyle name="Normal 5 2 2 2 2 9" xfId="4783" xr:uid="{00000000-0005-0000-0000-000047170000}"/>
    <cellStyle name="Normal 5 2 2 2 2 9 2" xfId="14109" xr:uid="{2ACEA68D-515C-4DF2-9818-7AA08FCAC26C}"/>
    <cellStyle name="Normal 5 2 2 2 3" xfId="414" xr:uid="{00000000-0005-0000-0000-000048170000}"/>
    <cellStyle name="Normal 5 2 2 2 3 10" xfId="9896" xr:uid="{43ADCA75-733B-4EE9-916B-50DF22DE1C12}"/>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99AEE1DB-B0FD-4944-9E5D-EE97BA714DDD}"/>
    <cellStyle name="Normal 5 2 2 2 3 2 2 2 3" xfId="12455" xr:uid="{D470CED8-DEC7-424C-B6DF-2B76A314C1D3}"/>
    <cellStyle name="Normal 5 2 2 2 3 2 2 3" xfId="5201" xr:uid="{00000000-0005-0000-0000-00004D170000}"/>
    <cellStyle name="Normal 5 2 2 2 3 2 2 3 2" xfId="14527" xr:uid="{E8A31BA6-8DD0-473D-99CE-BC0A0CF0AE8B}"/>
    <cellStyle name="Normal 5 2 2 2 3 2 2 4" xfId="9506" xr:uid="{65E8E1F9-5B62-47C9-8131-412DF42F5268}"/>
    <cellStyle name="Normal 5 2 2 2 3 2 2 4 2" xfId="18821" xr:uid="{91243759-8209-4244-8552-32A63E2AECB3}"/>
    <cellStyle name="Normal 5 2 2 2 3 2 2 5" xfId="10310" xr:uid="{224F4CEA-47CB-4FF6-AA95-953C98B671CC}"/>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E1E32FEC-5658-4DD1-9751-38946B3E4055}"/>
    <cellStyle name="Normal 5 2 2 2 3 2 3 2 3" xfId="12868" xr:uid="{2F5F93F8-7C1D-4808-9496-A0A560788E23}"/>
    <cellStyle name="Normal 5 2 2 2 3 2 3 3" xfId="5614" xr:uid="{00000000-0005-0000-0000-000051170000}"/>
    <cellStyle name="Normal 5 2 2 2 3 2 3 3 2" xfId="14940" xr:uid="{71F8DFA0-9592-4DD2-ACCE-AA048CC2D879}"/>
    <cellStyle name="Normal 5 2 2 2 3 2 3 4" xfId="10723" xr:uid="{D062023D-DB51-4700-B9AB-3AFF1CF5BC16}"/>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D933DB13-D8CB-422A-A3B1-452D42A248F1}"/>
    <cellStyle name="Normal 5 2 2 2 3 2 4 2 3" xfId="13281" xr:uid="{57F10B93-304B-4FAA-B0E0-9872DFA45663}"/>
    <cellStyle name="Normal 5 2 2 2 3 2 4 3" xfId="6027" xr:uid="{00000000-0005-0000-0000-000055170000}"/>
    <cellStyle name="Normal 5 2 2 2 3 2 4 3 2" xfId="15353" xr:uid="{6944C35F-0810-4F14-83B0-9DB4938956CB}"/>
    <cellStyle name="Normal 5 2 2 2 3 2 4 4" xfId="11136" xr:uid="{CDD6AF87-4FB5-4BD9-B1B3-2E3174EF976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BE3ECF42-10B9-46A6-915E-BF4A0C650931}"/>
    <cellStyle name="Normal 5 2 2 2 3 2 5 2 3" xfId="13694" xr:uid="{E9906146-2874-4803-9434-63606B5F19AD}"/>
    <cellStyle name="Normal 5 2 2 2 3 2 5 3" xfId="6440" xr:uid="{00000000-0005-0000-0000-000059170000}"/>
    <cellStyle name="Normal 5 2 2 2 3 2 5 3 2" xfId="15766" xr:uid="{D341159B-0D44-4BBB-9BC0-37793C54AC7D}"/>
    <cellStyle name="Normal 5 2 2 2 3 2 5 4" xfId="11549" xr:uid="{32B08FD4-6362-458A-A781-74624A1D9694}"/>
    <cellStyle name="Normal 5 2 2 2 3 2 6" xfId="2570" xr:uid="{00000000-0005-0000-0000-00005A170000}"/>
    <cellStyle name="Normal 5 2 2 2 3 2 6 2" xfId="6853" xr:uid="{00000000-0005-0000-0000-00005B170000}"/>
    <cellStyle name="Normal 5 2 2 2 3 2 6 2 2" xfId="16179" xr:uid="{0FB931A9-DE53-4E9E-A3BC-CB981546B54D}"/>
    <cellStyle name="Normal 5 2 2 2 3 2 6 3" xfId="11962" xr:uid="{302EF2B7-33DF-4D21-8047-58120D794FBD}"/>
    <cellStyle name="Normal 5 2 2 2 3 2 7" xfId="4788" xr:uid="{00000000-0005-0000-0000-00005C170000}"/>
    <cellStyle name="Normal 5 2 2 2 3 2 7 2" xfId="14114" xr:uid="{4ED439F1-5FA1-4407-A5C1-398F9C26C25E}"/>
    <cellStyle name="Normal 5 2 2 2 3 2 8" xfId="9081" xr:uid="{B0400C6D-4400-4F06-9092-2DCAD3324CF1}"/>
    <cellStyle name="Normal 5 2 2 2 3 2 8 2" xfId="18405" xr:uid="{C5303EB0-1797-48F5-94E9-71B87AAD8029}"/>
    <cellStyle name="Normal 5 2 2 2 3 2 9" xfId="9897" xr:uid="{958130B9-AA8C-47F6-8F44-C4AD258AC8FF}"/>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F59BF5CE-7F22-4659-9737-3480D7DA0797}"/>
    <cellStyle name="Normal 5 2 2 2 3 3 2 3" xfId="12454" xr:uid="{66644E6A-B592-4682-915D-8415E30702B8}"/>
    <cellStyle name="Normal 5 2 2 2 3 3 3" xfId="5200" xr:uid="{00000000-0005-0000-0000-000060170000}"/>
    <cellStyle name="Normal 5 2 2 2 3 3 3 2" xfId="14526" xr:uid="{FCBAD446-DB19-4C96-A10E-AC62C7C8EA02}"/>
    <cellStyle name="Normal 5 2 2 2 3 3 4" xfId="9299" xr:uid="{85780536-A38F-4D86-8846-D9FA6BB2D61D}"/>
    <cellStyle name="Normal 5 2 2 2 3 3 4 2" xfId="18614" xr:uid="{7642F572-1747-4BCE-BE2D-A6BFA1C66874}"/>
    <cellStyle name="Normal 5 2 2 2 3 3 5" xfId="10309" xr:uid="{572999EE-1D62-4788-97B5-3C4EB0EA1C3B}"/>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154B80CD-4EDA-4BEF-B6BE-9CD267892423}"/>
    <cellStyle name="Normal 5 2 2 2 3 4 2 3" xfId="12867" xr:uid="{EEE447F4-40CC-4EEB-80C8-C9045334F477}"/>
    <cellStyle name="Normal 5 2 2 2 3 4 3" xfId="5613" xr:uid="{00000000-0005-0000-0000-000064170000}"/>
    <cellStyle name="Normal 5 2 2 2 3 4 3 2" xfId="14939" xr:uid="{8CA83F32-1BD0-438E-958D-3E9A133B5E5F}"/>
    <cellStyle name="Normal 5 2 2 2 3 4 4" xfId="10722" xr:uid="{10FE5CB7-94E6-46AE-A2CD-D74C5CA8AD2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058F1EBC-2FEA-43CF-BEE3-E73D4CE87A17}"/>
    <cellStyle name="Normal 5 2 2 2 3 5 2 3" xfId="13280" xr:uid="{63F8550E-33C7-4899-8239-D83EA59C7D74}"/>
    <cellStyle name="Normal 5 2 2 2 3 5 3" xfId="6026" xr:uid="{00000000-0005-0000-0000-000068170000}"/>
    <cellStyle name="Normal 5 2 2 2 3 5 3 2" xfId="15352" xr:uid="{52E36EAF-3703-42D4-A3DB-3BAB715A770E}"/>
    <cellStyle name="Normal 5 2 2 2 3 5 4" xfId="11135" xr:uid="{DD3C933F-0B52-499F-9400-DD93686DFA3B}"/>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A418F09E-9C89-427B-99A0-B17DB186EE00}"/>
    <cellStyle name="Normal 5 2 2 2 3 6 2 3" xfId="13693" xr:uid="{B8FD4A8D-2E89-4447-92F0-E8C81715BA24}"/>
    <cellStyle name="Normal 5 2 2 2 3 6 3" xfId="6439" xr:uid="{00000000-0005-0000-0000-00006C170000}"/>
    <cellStyle name="Normal 5 2 2 2 3 6 3 2" xfId="15765" xr:uid="{DC454391-27B7-41D8-AC19-46B8341CDE39}"/>
    <cellStyle name="Normal 5 2 2 2 3 6 4" xfId="11548" xr:uid="{C0472BDF-2E9D-415C-90EF-F720EDBACC3B}"/>
    <cellStyle name="Normal 5 2 2 2 3 7" xfId="2569" xr:uid="{00000000-0005-0000-0000-00006D170000}"/>
    <cellStyle name="Normal 5 2 2 2 3 7 2" xfId="6852" xr:uid="{00000000-0005-0000-0000-00006E170000}"/>
    <cellStyle name="Normal 5 2 2 2 3 7 2 2" xfId="16178" xr:uid="{8B6D9B93-BAF6-4E2F-A203-D66282595C4D}"/>
    <cellStyle name="Normal 5 2 2 2 3 7 3" xfId="11961" xr:uid="{EC1AC8F1-4186-462B-8F63-F104D33E2E00}"/>
    <cellStyle name="Normal 5 2 2 2 3 8" xfId="4787" xr:uid="{00000000-0005-0000-0000-00006F170000}"/>
    <cellStyle name="Normal 5 2 2 2 3 8 2" xfId="14113" xr:uid="{471F8054-566D-488A-A7D6-18CBEEE8D3CF}"/>
    <cellStyle name="Normal 5 2 2 2 3 9" xfId="8874" xr:uid="{D7CEB9F3-DFA5-483F-B08A-C4A582DD7FE8}"/>
    <cellStyle name="Normal 5 2 2 2 3 9 2" xfId="18198" xr:uid="{C119F76E-178C-4FF2-8687-A00EDC018B4E}"/>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AC7600D6-4AAE-45AB-9327-B7039C49AF84}"/>
    <cellStyle name="Normal 5 2 2 2 4 2 2 3" xfId="12456" xr:uid="{02E1F5E2-C089-4F5F-AF4E-8C8A6870D51C}"/>
    <cellStyle name="Normal 5 2 2 2 4 2 3" xfId="5202" xr:uid="{00000000-0005-0000-0000-000074170000}"/>
    <cellStyle name="Normal 5 2 2 2 4 2 3 2" xfId="14528" xr:uid="{E772E927-E05C-4004-8C12-814CDB3776CA}"/>
    <cellStyle name="Normal 5 2 2 2 4 2 4" xfId="9403" xr:uid="{DDA7C497-662A-4A76-A324-A27E6A0A2B3D}"/>
    <cellStyle name="Normal 5 2 2 2 4 2 4 2" xfId="18718" xr:uid="{B44BFB7F-FD7F-45F6-AC73-16D60DFC7BD9}"/>
    <cellStyle name="Normal 5 2 2 2 4 2 5" xfId="10311" xr:uid="{F70797AA-3673-41DE-8711-DF658E8F0FD1}"/>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0C0EEDF5-C0AA-4AD5-907E-F1026A81EC89}"/>
    <cellStyle name="Normal 5 2 2 2 4 3 2 3" xfId="12869" xr:uid="{7A8DB7DD-27E6-4CC2-9136-2FF377CC3DDD}"/>
    <cellStyle name="Normal 5 2 2 2 4 3 3" xfId="5615" xr:uid="{00000000-0005-0000-0000-000078170000}"/>
    <cellStyle name="Normal 5 2 2 2 4 3 3 2" xfId="14941" xr:uid="{F7543AD1-60DE-4A78-9877-F1EA534A8CAC}"/>
    <cellStyle name="Normal 5 2 2 2 4 3 4" xfId="10724" xr:uid="{680A0EC1-AB4A-4276-A16B-3038BC298EC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D6826BF9-34C8-4BFB-8AC0-C530F098B4C0}"/>
    <cellStyle name="Normal 5 2 2 2 4 4 2 3" xfId="13282" xr:uid="{850990C7-1F73-4959-ABE8-6DD54A1AD045}"/>
    <cellStyle name="Normal 5 2 2 2 4 4 3" xfId="6028" xr:uid="{00000000-0005-0000-0000-00007C170000}"/>
    <cellStyle name="Normal 5 2 2 2 4 4 3 2" xfId="15354" xr:uid="{F1EDB820-3A7D-419D-8E8B-81058A88BD76}"/>
    <cellStyle name="Normal 5 2 2 2 4 4 4" xfId="11137" xr:uid="{0F1688B6-4801-42A3-B4F4-1B24DFCDA58C}"/>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F4326D08-4102-4A49-A92D-AE2D2B2C079E}"/>
    <cellStyle name="Normal 5 2 2 2 4 5 2 3" xfId="13695" xr:uid="{C5B2DB20-CC37-4C65-A4F2-2CAC1FC881FD}"/>
    <cellStyle name="Normal 5 2 2 2 4 5 3" xfId="6441" xr:uid="{00000000-0005-0000-0000-000080170000}"/>
    <cellStyle name="Normal 5 2 2 2 4 5 3 2" xfId="15767" xr:uid="{EFC5ED3F-A8B4-4342-9FBC-DF70D85C3DDC}"/>
    <cellStyle name="Normal 5 2 2 2 4 5 4" xfId="11550" xr:uid="{AD2A2002-D806-4EAE-9516-61119FFF36CA}"/>
    <cellStyle name="Normal 5 2 2 2 4 6" xfId="2571" xr:uid="{00000000-0005-0000-0000-000081170000}"/>
    <cellStyle name="Normal 5 2 2 2 4 6 2" xfId="6854" xr:uid="{00000000-0005-0000-0000-000082170000}"/>
    <cellStyle name="Normal 5 2 2 2 4 6 2 2" xfId="16180" xr:uid="{C27EE3C7-CFB2-4F2F-8594-16EC56D6E305}"/>
    <cellStyle name="Normal 5 2 2 2 4 6 3" xfId="11963" xr:uid="{BC57A1F4-D003-4C89-8961-A9E3DA7B9EEE}"/>
    <cellStyle name="Normal 5 2 2 2 4 7" xfId="4789" xr:uid="{00000000-0005-0000-0000-000083170000}"/>
    <cellStyle name="Normal 5 2 2 2 4 7 2" xfId="14115" xr:uid="{BCEA19EC-B07D-4B8D-A5A1-F9E63FD954EF}"/>
    <cellStyle name="Normal 5 2 2 2 4 8" xfId="8978" xr:uid="{5B5F86B4-BA0F-43A7-920A-E466FD014739}"/>
    <cellStyle name="Normal 5 2 2 2 4 8 2" xfId="18302" xr:uid="{2CC4D37E-12E7-474D-9E58-4BC612FE3734}"/>
    <cellStyle name="Normal 5 2 2 2 4 9" xfId="9898" xr:uid="{572EE8F4-BF0B-47C4-AF81-16818427AC3E}"/>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762CC060-AB52-4809-8641-7C3152E2E16B}"/>
    <cellStyle name="Normal 5 2 2 2 5 2 3" xfId="12449" xr:uid="{730085E6-5B35-46D9-8105-CBA1E04BB856}"/>
    <cellStyle name="Normal 5 2 2 2 5 3" xfId="5195" xr:uid="{00000000-0005-0000-0000-000087170000}"/>
    <cellStyle name="Normal 5 2 2 2 5 3 2" xfId="14521" xr:uid="{6071D883-C5D7-4776-923F-54A02DDFE905}"/>
    <cellStyle name="Normal 5 2 2 2 5 4" xfId="9195" xr:uid="{A7E71EA0-2CA4-4918-870E-A32EEF45C61A}"/>
    <cellStyle name="Normal 5 2 2 2 5 4 2" xfId="18511" xr:uid="{AA1EA970-B11F-4623-ADB0-A9C6BC318BEF}"/>
    <cellStyle name="Normal 5 2 2 2 5 5" xfId="10304" xr:uid="{170F4FD9-AB3D-48FF-A92F-1033F9EA532D}"/>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D88F5EAE-BF29-451F-86FD-A0A37C12413A}"/>
    <cellStyle name="Normal 5 2 2 2 6 2 3" xfId="12862" xr:uid="{39E6C471-8BC6-4458-8621-C36CF97CFDE8}"/>
    <cellStyle name="Normal 5 2 2 2 6 3" xfId="5608" xr:uid="{00000000-0005-0000-0000-00008B170000}"/>
    <cellStyle name="Normal 5 2 2 2 6 3 2" xfId="14934" xr:uid="{E7798F23-605E-449B-BD5E-36CACDB0C9D2}"/>
    <cellStyle name="Normal 5 2 2 2 6 4" xfId="10717" xr:uid="{02B6B1DF-779F-40D7-A9B2-0F98D79C67F2}"/>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B59C5B55-54BE-4130-8D75-4C21BE1707BB}"/>
    <cellStyle name="Normal 5 2 2 2 7 2 3" xfId="13275" xr:uid="{4C3E1EB0-A1E6-4855-93A0-044FC0E994C3}"/>
    <cellStyle name="Normal 5 2 2 2 7 3" xfId="6021" xr:uid="{00000000-0005-0000-0000-00008F170000}"/>
    <cellStyle name="Normal 5 2 2 2 7 3 2" xfId="15347" xr:uid="{C8025307-7AAE-4048-8AEC-13712397C72B}"/>
    <cellStyle name="Normal 5 2 2 2 7 4" xfId="11130" xr:uid="{54CC9875-E9DD-4136-AC8B-517D84855701}"/>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A09BF859-2281-4992-905B-B7AB964E59EA}"/>
    <cellStyle name="Normal 5 2 2 2 8 2 3" xfId="13688" xr:uid="{2CD434CE-5861-4106-83D9-660AE95F2679}"/>
    <cellStyle name="Normal 5 2 2 2 8 3" xfId="6434" xr:uid="{00000000-0005-0000-0000-000093170000}"/>
    <cellStyle name="Normal 5 2 2 2 8 3 2" xfId="15760" xr:uid="{B611D23D-EA68-4009-AB60-EB77FA9910FD}"/>
    <cellStyle name="Normal 5 2 2 2 8 4" xfId="11543" xr:uid="{A0E128C1-A054-427C-9D4B-C9AAD34224B4}"/>
    <cellStyle name="Normal 5 2 2 2 9" xfId="2564" xr:uid="{00000000-0005-0000-0000-000094170000}"/>
    <cellStyle name="Normal 5 2 2 2 9 2" xfId="6847" xr:uid="{00000000-0005-0000-0000-000095170000}"/>
    <cellStyle name="Normal 5 2 2 2 9 2 2" xfId="16173" xr:uid="{218B27E6-831E-4A42-8BE7-C37FD29E0706}"/>
    <cellStyle name="Normal 5 2 2 2 9 3" xfId="11956" xr:uid="{9FAACC08-5D37-4EC0-AD06-6CD4FC249BF0}"/>
    <cellStyle name="Normal 5 2 2 3" xfId="417" xr:uid="{00000000-0005-0000-0000-000096170000}"/>
    <cellStyle name="Normal 5 2 2 3 10" xfId="8828" xr:uid="{5CED8211-F967-469B-812B-9DF6FC250177}"/>
    <cellStyle name="Normal 5 2 2 3 10 2" xfId="18152" xr:uid="{145586FA-2E67-4500-9CFC-E752880AA79D}"/>
    <cellStyle name="Normal 5 2 2 3 11" xfId="9899" xr:uid="{6643C6CE-8508-4775-885E-36E000472EC0}"/>
    <cellStyle name="Normal 5 2 2 3 2" xfId="418" xr:uid="{00000000-0005-0000-0000-000097170000}"/>
    <cellStyle name="Normal 5 2 2 3 2 10" xfId="9900" xr:uid="{884D0770-EDE3-4547-81A6-E152B1C37C49}"/>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FC9D45F5-BBFD-49DE-A431-BA19E9CF0B8D}"/>
    <cellStyle name="Normal 5 2 2 3 2 2 2 2 3" xfId="12459" xr:uid="{9312A5D3-42BA-4150-9B1D-186AB03325A3}"/>
    <cellStyle name="Normal 5 2 2 3 2 2 2 3" xfId="5205" xr:uid="{00000000-0005-0000-0000-00009C170000}"/>
    <cellStyle name="Normal 5 2 2 3 2 2 2 3 2" xfId="14531" xr:uid="{4C5E1349-3EF4-4458-BA70-BA61BBC6F691}"/>
    <cellStyle name="Normal 5 2 2 3 2 2 2 4" xfId="9563" xr:uid="{804E641C-B5FA-46A3-B805-C1D4AF390C28}"/>
    <cellStyle name="Normal 5 2 2 3 2 2 2 4 2" xfId="18878" xr:uid="{74845BE1-CE90-4EF2-9D31-561E13ED9FAA}"/>
    <cellStyle name="Normal 5 2 2 3 2 2 2 5" xfId="10314" xr:uid="{5445A84E-9BDE-4ADD-8DEB-F011B46161F2}"/>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94F1913A-3F8C-4414-870D-734FF6D52666}"/>
    <cellStyle name="Normal 5 2 2 3 2 2 3 2 3" xfId="12872" xr:uid="{938C5328-4B57-4C3B-82BF-CD96427B94AB}"/>
    <cellStyle name="Normal 5 2 2 3 2 2 3 3" xfId="5618" xr:uid="{00000000-0005-0000-0000-0000A0170000}"/>
    <cellStyle name="Normal 5 2 2 3 2 2 3 3 2" xfId="14944" xr:uid="{6F367402-4250-4480-BE6E-08544F92C9B4}"/>
    <cellStyle name="Normal 5 2 2 3 2 2 3 4" xfId="10727" xr:uid="{72BE9C1E-B94A-4E36-80C8-879D9ED8036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1CAC452E-1F62-41DF-A472-38F66285141E}"/>
    <cellStyle name="Normal 5 2 2 3 2 2 4 2 3" xfId="13285" xr:uid="{0AF0CE21-0515-49CE-9B4A-5CE0562342DA}"/>
    <cellStyle name="Normal 5 2 2 3 2 2 4 3" xfId="6031" xr:uid="{00000000-0005-0000-0000-0000A4170000}"/>
    <cellStyle name="Normal 5 2 2 3 2 2 4 3 2" xfId="15357" xr:uid="{5FA943BF-79C3-4072-A283-5495D234637D}"/>
    <cellStyle name="Normal 5 2 2 3 2 2 4 4" xfId="11140" xr:uid="{F8542D28-6C1D-48CA-ACE0-AF46A9152ED2}"/>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A28DF2B7-BB9A-4A49-A5BC-37C8DCF9F0BB}"/>
    <cellStyle name="Normal 5 2 2 3 2 2 5 2 3" xfId="13698" xr:uid="{993EC337-738D-44B6-BB1B-F620DBA854F1}"/>
    <cellStyle name="Normal 5 2 2 3 2 2 5 3" xfId="6444" xr:uid="{00000000-0005-0000-0000-0000A8170000}"/>
    <cellStyle name="Normal 5 2 2 3 2 2 5 3 2" xfId="15770" xr:uid="{4612FBDE-0B44-4823-8E30-CD9CEAEF593F}"/>
    <cellStyle name="Normal 5 2 2 3 2 2 5 4" xfId="11553" xr:uid="{EFDF615C-E9A2-47CB-A410-5EB9445AB251}"/>
    <cellStyle name="Normal 5 2 2 3 2 2 6" xfId="2574" xr:uid="{00000000-0005-0000-0000-0000A9170000}"/>
    <cellStyle name="Normal 5 2 2 3 2 2 6 2" xfId="6857" xr:uid="{00000000-0005-0000-0000-0000AA170000}"/>
    <cellStyle name="Normal 5 2 2 3 2 2 6 2 2" xfId="16183" xr:uid="{C55D1420-B74A-47CA-8748-B3CEB4B49FFA}"/>
    <cellStyle name="Normal 5 2 2 3 2 2 6 3" xfId="11966" xr:uid="{FEFB2F68-B3ED-4ED5-9CC6-89B30245DADB}"/>
    <cellStyle name="Normal 5 2 2 3 2 2 7" xfId="4792" xr:uid="{00000000-0005-0000-0000-0000AB170000}"/>
    <cellStyle name="Normal 5 2 2 3 2 2 7 2" xfId="14118" xr:uid="{51455AEA-FA95-4130-B91A-3FABB7A95EB3}"/>
    <cellStyle name="Normal 5 2 2 3 2 2 8" xfId="9138" xr:uid="{BE73D583-3CAB-48A9-8A6F-E88EE69D1D1D}"/>
    <cellStyle name="Normal 5 2 2 3 2 2 8 2" xfId="18462" xr:uid="{4A52E72E-9448-41F9-86E0-536DC2128F56}"/>
    <cellStyle name="Normal 5 2 2 3 2 2 9" xfId="9901" xr:uid="{2E66F7FF-46C5-43C0-8F1B-5147356F3137}"/>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B0FB12F1-C8CD-42B1-9C2A-36692B469E0D}"/>
    <cellStyle name="Normal 5 2 2 3 2 3 2 3" xfId="12458" xr:uid="{66E6619A-3B28-40FB-A2B3-CB33E52CE668}"/>
    <cellStyle name="Normal 5 2 2 3 2 3 3" xfId="5204" xr:uid="{00000000-0005-0000-0000-0000AF170000}"/>
    <cellStyle name="Normal 5 2 2 3 2 3 3 2" xfId="14530" xr:uid="{02CD8E71-E1C2-4D85-AF33-BF35BEC1ADA8}"/>
    <cellStyle name="Normal 5 2 2 3 2 3 4" xfId="9356" xr:uid="{58BAA3B3-A7A2-4F6F-9929-D8BE9F0A557D}"/>
    <cellStyle name="Normal 5 2 2 3 2 3 4 2" xfId="18671" xr:uid="{F5145F21-8EAC-414D-A835-1B8489EFF338}"/>
    <cellStyle name="Normal 5 2 2 3 2 3 5" xfId="10313" xr:uid="{CCB8C6E1-6E81-404C-BF83-1812BF8E6D04}"/>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83020D34-1A8F-4B44-B34E-1A0162B2B088}"/>
    <cellStyle name="Normal 5 2 2 3 2 4 2 3" xfId="12871" xr:uid="{3FB97460-FE1E-4BED-9E27-956C5E4F4C03}"/>
    <cellStyle name="Normal 5 2 2 3 2 4 3" xfId="5617" xr:uid="{00000000-0005-0000-0000-0000B3170000}"/>
    <cellStyle name="Normal 5 2 2 3 2 4 3 2" xfId="14943" xr:uid="{7EC51833-879F-4721-86B8-79F02232C8E2}"/>
    <cellStyle name="Normal 5 2 2 3 2 4 4" xfId="10726" xr:uid="{3F13319F-109E-4919-AD51-2CB73C2D45FC}"/>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1872CDF3-4A43-4343-B0F2-36E786D90528}"/>
    <cellStyle name="Normal 5 2 2 3 2 5 2 3" xfId="13284" xr:uid="{EF757E32-B5E0-4FD5-BEFF-A0B8A928F07E}"/>
    <cellStyle name="Normal 5 2 2 3 2 5 3" xfId="6030" xr:uid="{00000000-0005-0000-0000-0000B7170000}"/>
    <cellStyle name="Normal 5 2 2 3 2 5 3 2" xfId="15356" xr:uid="{FA4C57C9-9835-433C-8318-F4EA623426D8}"/>
    <cellStyle name="Normal 5 2 2 3 2 5 4" xfId="11139" xr:uid="{BA0170A2-4559-4C50-B4AD-C7E5301F69B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8DAE9895-C8CF-4CC3-9FEA-C986CCE97AE0}"/>
    <cellStyle name="Normal 5 2 2 3 2 6 2 3" xfId="13697" xr:uid="{5F6215E8-4CBC-4814-BBBB-3427AD4E90F3}"/>
    <cellStyle name="Normal 5 2 2 3 2 6 3" xfId="6443" xr:uid="{00000000-0005-0000-0000-0000BB170000}"/>
    <cellStyle name="Normal 5 2 2 3 2 6 3 2" xfId="15769" xr:uid="{824F47B9-BB88-4BD4-99CE-EACD2D60C03A}"/>
    <cellStyle name="Normal 5 2 2 3 2 6 4" xfId="11552" xr:uid="{21B14910-8297-4D4A-83F4-353C178EB367}"/>
    <cellStyle name="Normal 5 2 2 3 2 7" xfId="2573" xr:uid="{00000000-0005-0000-0000-0000BC170000}"/>
    <cellStyle name="Normal 5 2 2 3 2 7 2" xfId="6856" xr:uid="{00000000-0005-0000-0000-0000BD170000}"/>
    <cellStyle name="Normal 5 2 2 3 2 7 2 2" xfId="16182" xr:uid="{B7C5E47A-31DD-4B44-8AEC-6A0C539EABF4}"/>
    <cellStyle name="Normal 5 2 2 3 2 7 3" xfId="11965" xr:uid="{6513FC74-278A-4958-99EF-4326DD62C0C0}"/>
    <cellStyle name="Normal 5 2 2 3 2 8" xfId="4791" xr:uid="{00000000-0005-0000-0000-0000BE170000}"/>
    <cellStyle name="Normal 5 2 2 3 2 8 2" xfId="14117" xr:uid="{A938D5F7-8019-4552-B9DC-0E460D0BF411}"/>
    <cellStyle name="Normal 5 2 2 3 2 9" xfId="8931" xr:uid="{E27E09D3-2564-4B82-8EA4-A27330B6B436}"/>
    <cellStyle name="Normal 5 2 2 3 2 9 2" xfId="18255" xr:uid="{BF3639B6-BEB0-4BB3-9C28-88CC4A117833}"/>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29D17AF7-8DB0-4361-A118-068613041293}"/>
    <cellStyle name="Normal 5 2 2 3 3 2 2 3" xfId="12460" xr:uid="{5C0EEF6F-830C-48AB-A7A1-9D425D09394F}"/>
    <cellStyle name="Normal 5 2 2 3 3 2 3" xfId="5206" xr:uid="{00000000-0005-0000-0000-0000C3170000}"/>
    <cellStyle name="Normal 5 2 2 3 3 2 3 2" xfId="14532" xr:uid="{1EDC66D3-EBBD-470B-BE0E-8367A8FA44F2}"/>
    <cellStyle name="Normal 5 2 2 3 3 2 4" xfId="9460" xr:uid="{423E0BE9-24F3-4EF0-8962-2565594BF831}"/>
    <cellStyle name="Normal 5 2 2 3 3 2 4 2" xfId="18775" xr:uid="{8AD6DE60-5404-49A4-8A21-28456E2360FE}"/>
    <cellStyle name="Normal 5 2 2 3 3 2 5" xfId="10315" xr:uid="{258EB038-BF1D-4F27-980B-6755A3511A43}"/>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A7D97C43-513F-4F84-9EFF-C6B705F9E4A1}"/>
    <cellStyle name="Normal 5 2 2 3 3 3 2 3" xfId="12873" xr:uid="{FC3308C2-6C50-4FC2-A8B6-FFEE7926B644}"/>
    <cellStyle name="Normal 5 2 2 3 3 3 3" xfId="5619" xr:uid="{00000000-0005-0000-0000-0000C7170000}"/>
    <cellStyle name="Normal 5 2 2 3 3 3 3 2" xfId="14945" xr:uid="{34FE275B-E0C0-4C78-B481-592A692E4FA1}"/>
    <cellStyle name="Normal 5 2 2 3 3 3 4" xfId="10728" xr:uid="{22A44862-6991-49F8-A841-7D3B0E0DA0E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443EA111-26AC-4E6C-BB47-B50425F57791}"/>
    <cellStyle name="Normal 5 2 2 3 3 4 2 3" xfId="13286" xr:uid="{C12D67DC-720B-40AE-A098-6F29EFC80595}"/>
    <cellStyle name="Normal 5 2 2 3 3 4 3" xfId="6032" xr:uid="{00000000-0005-0000-0000-0000CB170000}"/>
    <cellStyle name="Normal 5 2 2 3 3 4 3 2" xfId="15358" xr:uid="{3096862A-AAF7-43A7-9373-FE53BAFB6D9C}"/>
    <cellStyle name="Normal 5 2 2 3 3 4 4" xfId="11141" xr:uid="{E3821590-09B9-459C-BF13-242A65F2C0A5}"/>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5EC546D2-E181-4BB8-B9BE-E55F86BB5AC4}"/>
    <cellStyle name="Normal 5 2 2 3 3 5 2 3" xfId="13699" xr:uid="{97354124-36DB-477E-ACEE-4B318A9D2415}"/>
    <cellStyle name="Normal 5 2 2 3 3 5 3" xfId="6445" xr:uid="{00000000-0005-0000-0000-0000CF170000}"/>
    <cellStyle name="Normal 5 2 2 3 3 5 3 2" xfId="15771" xr:uid="{FA98DC1C-4BE7-4E41-8077-C44EB111401E}"/>
    <cellStyle name="Normal 5 2 2 3 3 5 4" xfId="11554" xr:uid="{116CCA88-8DF4-48C1-A20E-45876E49C1AB}"/>
    <cellStyle name="Normal 5 2 2 3 3 6" xfId="2575" xr:uid="{00000000-0005-0000-0000-0000D0170000}"/>
    <cellStyle name="Normal 5 2 2 3 3 6 2" xfId="6858" xr:uid="{00000000-0005-0000-0000-0000D1170000}"/>
    <cellStyle name="Normal 5 2 2 3 3 6 2 2" xfId="16184" xr:uid="{9EC67CCF-030F-4692-ADB7-A65E57D05DB8}"/>
    <cellStyle name="Normal 5 2 2 3 3 6 3" xfId="11967" xr:uid="{86BED8AC-CC5B-40C2-B36E-0197F5CCAA3A}"/>
    <cellStyle name="Normal 5 2 2 3 3 7" xfId="4793" xr:uid="{00000000-0005-0000-0000-0000D2170000}"/>
    <cellStyle name="Normal 5 2 2 3 3 7 2" xfId="14119" xr:uid="{FCF9FDE9-D80A-49C0-8E13-7B2A33AD627C}"/>
    <cellStyle name="Normal 5 2 2 3 3 8" xfId="9035" xr:uid="{6AC57173-16AF-4847-A277-E4254AACDA36}"/>
    <cellStyle name="Normal 5 2 2 3 3 8 2" xfId="18359" xr:uid="{4EA47C1E-A5B2-40CE-AA25-A0CD25B98587}"/>
    <cellStyle name="Normal 5 2 2 3 3 9" xfId="9902" xr:uid="{F9672F7B-61BC-4E03-A344-582AD01C7400}"/>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FE07FA5E-C6E3-427B-B301-2D2D4977E261}"/>
    <cellStyle name="Normal 5 2 2 3 4 2 3" xfId="12457" xr:uid="{E97AEFD1-CE15-4868-865F-E97A804F7F94}"/>
    <cellStyle name="Normal 5 2 2 3 4 3" xfId="5203" xr:uid="{00000000-0005-0000-0000-0000D6170000}"/>
    <cellStyle name="Normal 5 2 2 3 4 3 2" xfId="14529" xr:uid="{804960E4-0CA5-4AD1-86DD-BBD91D9A66D8}"/>
    <cellStyle name="Normal 5 2 2 3 4 4" xfId="9253" xr:uid="{A5C3AAF9-67DD-41B1-A0BF-05B69F588F71}"/>
    <cellStyle name="Normal 5 2 2 3 4 4 2" xfId="18568" xr:uid="{EDD6D12A-89F9-40DC-A7D6-F47E7137352D}"/>
    <cellStyle name="Normal 5 2 2 3 4 5" xfId="10312" xr:uid="{A3B4BE41-B29A-46F1-82F3-233A523B80BF}"/>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989824B0-F00A-4D06-984F-C6A727E41AED}"/>
    <cellStyle name="Normal 5 2 2 3 5 2 3" xfId="12870" xr:uid="{36435152-3464-49E1-802F-A87E6952036B}"/>
    <cellStyle name="Normal 5 2 2 3 5 3" xfId="5616" xr:uid="{00000000-0005-0000-0000-0000DA170000}"/>
    <cellStyle name="Normal 5 2 2 3 5 3 2" xfId="14942" xr:uid="{E059A29C-F4BA-47FF-8149-2A9F5DF312A2}"/>
    <cellStyle name="Normal 5 2 2 3 5 4" xfId="10725" xr:uid="{E686CDC3-767A-44DC-8E77-D3B06F1448A6}"/>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A3F70A13-6A0F-4437-9DC6-59844DD8AEBF}"/>
    <cellStyle name="Normal 5 2 2 3 6 2 3" xfId="13283" xr:uid="{02686A47-A5C0-4AC8-98F4-98BE82756C8E}"/>
    <cellStyle name="Normal 5 2 2 3 6 3" xfId="6029" xr:uid="{00000000-0005-0000-0000-0000DE170000}"/>
    <cellStyle name="Normal 5 2 2 3 6 3 2" xfId="15355" xr:uid="{CF7C6D0C-35A9-4023-823D-46B246217946}"/>
    <cellStyle name="Normal 5 2 2 3 6 4" xfId="11138" xr:uid="{CC4E0E33-8511-496E-A3D5-F267A852E45B}"/>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04F05162-67EE-4877-B1D6-04DF96AD0211}"/>
    <cellStyle name="Normal 5 2 2 3 7 2 3" xfId="13696" xr:uid="{79B77963-162C-4B4B-BD34-DABD6A6C474F}"/>
    <cellStyle name="Normal 5 2 2 3 7 3" xfId="6442" xr:uid="{00000000-0005-0000-0000-0000E2170000}"/>
    <cellStyle name="Normal 5 2 2 3 7 3 2" xfId="15768" xr:uid="{4FC623FC-F917-4277-AF3A-C4373AB60D72}"/>
    <cellStyle name="Normal 5 2 2 3 7 4" xfId="11551" xr:uid="{8A94F655-921F-4D38-898D-A48FBE55F6B5}"/>
    <cellStyle name="Normal 5 2 2 3 8" xfId="2572" xr:uid="{00000000-0005-0000-0000-0000E3170000}"/>
    <cellStyle name="Normal 5 2 2 3 8 2" xfId="6855" xr:uid="{00000000-0005-0000-0000-0000E4170000}"/>
    <cellStyle name="Normal 5 2 2 3 8 2 2" xfId="16181" xr:uid="{3E50618F-3569-4EBB-98B5-F1127439656D}"/>
    <cellStyle name="Normal 5 2 2 3 8 3" xfId="11964" xr:uid="{A9C610BE-A59E-4ED5-BA01-BE90AB918273}"/>
    <cellStyle name="Normal 5 2 2 3 9" xfId="4790" xr:uid="{00000000-0005-0000-0000-0000E5170000}"/>
    <cellStyle name="Normal 5 2 2 3 9 2" xfId="14116" xr:uid="{20282D07-BBB5-4DF0-841C-AE30E2D01994}"/>
    <cellStyle name="Normal 5 2 2 4" xfId="421" xr:uid="{00000000-0005-0000-0000-0000E6170000}"/>
    <cellStyle name="Normal 5 2 2 4 10" xfId="9903" xr:uid="{94562B8F-F81A-42DB-A80E-30BAB58F996B}"/>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A9AF3EF5-ABC2-4DDB-8789-2878AEBB8F41}"/>
    <cellStyle name="Normal 5 2 2 4 2 2 2 3" xfId="12462" xr:uid="{CAA1E9E1-B7D6-40B2-A8C4-555E26EF211C}"/>
    <cellStyle name="Normal 5 2 2 4 2 2 3" xfId="5208" xr:uid="{00000000-0005-0000-0000-0000EB170000}"/>
    <cellStyle name="Normal 5 2 2 4 2 2 3 2" xfId="14534" xr:uid="{71D3B1B7-5325-486D-96DE-747535EB08CD}"/>
    <cellStyle name="Normal 5 2 2 4 2 2 4" xfId="9488" xr:uid="{2997B11D-E810-48A4-BD3C-4498479B295E}"/>
    <cellStyle name="Normal 5 2 2 4 2 2 4 2" xfId="18803" xr:uid="{B0BF10D5-5341-4FCF-A48E-DE2FBBDC4ECC}"/>
    <cellStyle name="Normal 5 2 2 4 2 2 5" xfId="10317" xr:uid="{0B8DA383-83D8-4D0C-B207-084CBC35F64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A7A482EB-1530-4585-AE5D-06F0B4E55541}"/>
    <cellStyle name="Normal 5 2 2 4 2 3 2 3" xfId="12875" xr:uid="{67E1E2F6-AECB-40B0-9D83-054A229F258C}"/>
    <cellStyle name="Normal 5 2 2 4 2 3 3" xfId="5621" xr:uid="{00000000-0005-0000-0000-0000EF170000}"/>
    <cellStyle name="Normal 5 2 2 4 2 3 3 2" xfId="14947" xr:uid="{73B7E450-53A0-4C9E-896B-0820FB5C068B}"/>
    <cellStyle name="Normal 5 2 2 4 2 3 4" xfId="10730" xr:uid="{EFD248AD-15EB-4C42-9D78-FA20C1ACC3D1}"/>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FA325B57-C8A2-4306-BFE9-B3E63C722767}"/>
    <cellStyle name="Normal 5 2 2 4 2 4 2 3" xfId="13288" xr:uid="{DC4E7E73-EB5E-4B66-816E-17E14BBDB7BD}"/>
    <cellStyle name="Normal 5 2 2 4 2 4 3" xfId="6034" xr:uid="{00000000-0005-0000-0000-0000F3170000}"/>
    <cellStyle name="Normal 5 2 2 4 2 4 3 2" xfId="15360" xr:uid="{B9ADF8B1-B9C3-427E-B579-466BD71301B4}"/>
    <cellStyle name="Normal 5 2 2 4 2 4 4" xfId="11143" xr:uid="{CCF3F095-2DE1-4E76-9228-8B272721A3D4}"/>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2B5B942D-CA64-4DD2-921E-D65E786844BB}"/>
    <cellStyle name="Normal 5 2 2 4 2 5 2 3" xfId="13701" xr:uid="{AC037A1B-1E22-418B-BDEA-006B036C634D}"/>
    <cellStyle name="Normal 5 2 2 4 2 5 3" xfId="6447" xr:uid="{00000000-0005-0000-0000-0000F7170000}"/>
    <cellStyle name="Normal 5 2 2 4 2 5 3 2" xfId="15773" xr:uid="{44B2BA81-F113-4F6D-ACC5-57E567866C66}"/>
    <cellStyle name="Normal 5 2 2 4 2 5 4" xfId="11556" xr:uid="{A8B601B3-152A-4638-993C-B996FCEC5C90}"/>
    <cellStyle name="Normal 5 2 2 4 2 6" xfId="2577" xr:uid="{00000000-0005-0000-0000-0000F8170000}"/>
    <cellStyle name="Normal 5 2 2 4 2 6 2" xfId="6860" xr:uid="{00000000-0005-0000-0000-0000F9170000}"/>
    <cellStyle name="Normal 5 2 2 4 2 6 2 2" xfId="16186" xr:uid="{2CD2D624-E510-4519-9EF9-3EDE9454891E}"/>
    <cellStyle name="Normal 5 2 2 4 2 6 3" xfId="11969" xr:uid="{6A728372-470B-41CF-AC2B-6FD66B2BEB3F}"/>
    <cellStyle name="Normal 5 2 2 4 2 7" xfId="4795" xr:uid="{00000000-0005-0000-0000-0000FA170000}"/>
    <cellStyle name="Normal 5 2 2 4 2 7 2" xfId="14121" xr:uid="{8635F4D6-DB9C-48B9-8C2C-A2C3371AD093}"/>
    <cellStyle name="Normal 5 2 2 4 2 8" xfId="9063" xr:uid="{3B1AA107-8D7F-4938-A60C-EED41E9B9A2A}"/>
    <cellStyle name="Normal 5 2 2 4 2 8 2" xfId="18387" xr:uid="{E9AB92F2-DA0B-4BAC-8F36-8C8C610154CC}"/>
    <cellStyle name="Normal 5 2 2 4 2 9" xfId="9904" xr:uid="{E00AABDB-2DD8-4711-A598-B315D70A6D9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76E7619B-4C24-4432-BE10-68AB55A2264A}"/>
    <cellStyle name="Normal 5 2 2 4 3 2 3" xfId="12461" xr:uid="{6E06B382-C5D1-476A-875B-E153713C739A}"/>
    <cellStyle name="Normal 5 2 2 4 3 3" xfId="5207" xr:uid="{00000000-0005-0000-0000-0000FE170000}"/>
    <cellStyle name="Normal 5 2 2 4 3 3 2" xfId="14533" xr:uid="{D9C8BC02-2265-4825-B795-9348907D3C2E}"/>
    <cellStyle name="Normal 5 2 2 4 3 4" xfId="9281" xr:uid="{9304050F-95A7-4BE3-AD21-FEBB7D0875B2}"/>
    <cellStyle name="Normal 5 2 2 4 3 4 2" xfId="18596" xr:uid="{97033163-26FA-4E6D-A262-63B0671764E6}"/>
    <cellStyle name="Normal 5 2 2 4 3 5" xfId="10316" xr:uid="{23182E28-EAFE-49A6-9DFB-203028142B9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9A20A7C1-CD7C-4451-BB97-6F89A8006BFA}"/>
    <cellStyle name="Normal 5 2 2 4 4 2 3" xfId="12874" xr:uid="{15E3102A-D8C7-4A55-A412-587E9438D0B1}"/>
    <cellStyle name="Normal 5 2 2 4 4 3" xfId="5620" xr:uid="{00000000-0005-0000-0000-000002180000}"/>
    <cellStyle name="Normal 5 2 2 4 4 3 2" xfId="14946" xr:uid="{51CC459A-1957-4923-853F-1061895646FE}"/>
    <cellStyle name="Normal 5 2 2 4 4 4" xfId="10729" xr:uid="{314E1E33-3327-4D29-9F29-4DC33E1992FD}"/>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CFDA598D-2704-4AF6-A332-319D9B23FC18}"/>
    <cellStyle name="Normal 5 2 2 4 5 2 3" xfId="13287" xr:uid="{95127278-0984-4951-9E71-7FFC778BE913}"/>
    <cellStyle name="Normal 5 2 2 4 5 3" xfId="6033" xr:uid="{00000000-0005-0000-0000-000006180000}"/>
    <cellStyle name="Normal 5 2 2 4 5 3 2" xfId="15359" xr:uid="{937E80BD-019F-41A9-AE04-63FA3F9AAB05}"/>
    <cellStyle name="Normal 5 2 2 4 5 4" xfId="11142" xr:uid="{82CB46DA-0B8C-4E53-AE06-EE1E67575FF3}"/>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46FDC95D-4C3B-4C32-B83D-BC676D261F77}"/>
    <cellStyle name="Normal 5 2 2 4 6 2 3" xfId="13700" xr:uid="{0293C77A-C17D-4D0F-A450-258E1FFFB639}"/>
    <cellStyle name="Normal 5 2 2 4 6 3" xfId="6446" xr:uid="{00000000-0005-0000-0000-00000A180000}"/>
    <cellStyle name="Normal 5 2 2 4 6 3 2" xfId="15772" xr:uid="{0153FF4E-0730-4BCE-B3BC-4EF5059BB543}"/>
    <cellStyle name="Normal 5 2 2 4 6 4" xfId="11555" xr:uid="{CBE7ACED-EA24-438F-B572-8CF261B11428}"/>
    <cellStyle name="Normal 5 2 2 4 7" xfId="2576" xr:uid="{00000000-0005-0000-0000-00000B180000}"/>
    <cellStyle name="Normal 5 2 2 4 7 2" xfId="6859" xr:uid="{00000000-0005-0000-0000-00000C180000}"/>
    <cellStyle name="Normal 5 2 2 4 7 2 2" xfId="16185" xr:uid="{9E2E78DF-EF67-45D7-9B9C-4C03A8E8D4C4}"/>
    <cellStyle name="Normal 5 2 2 4 7 3" xfId="11968" xr:uid="{11302355-4F52-4127-BFD9-E6389D7DEDF1}"/>
    <cellStyle name="Normal 5 2 2 4 8" xfId="4794" xr:uid="{00000000-0005-0000-0000-00000D180000}"/>
    <cellStyle name="Normal 5 2 2 4 8 2" xfId="14120" xr:uid="{AFA2F89B-0384-40DC-A4EA-BDA4514B6C87}"/>
    <cellStyle name="Normal 5 2 2 4 9" xfId="8856" xr:uid="{8A537EF5-BE1D-4B82-9546-B2DC1F74308F}"/>
    <cellStyle name="Normal 5 2 2 4 9 2" xfId="18180" xr:uid="{920E6F18-2C83-41CA-A7FB-EA11034DC9F8}"/>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8302C73D-81B3-426E-A05D-B1C2911BBACE}"/>
    <cellStyle name="Normal 5 2 2 5 2 2 3" xfId="12463" xr:uid="{D91E2997-8171-4D7D-863B-AC931129EDB1}"/>
    <cellStyle name="Normal 5 2 2 5 2 3" xfId="5209" xr:uid="{00000000-0005-0000-0000-000012180000}"/>
    <cellStyle name="Normal 5 2 2 5 2 3 2" xfId="14535" xr:uid="{BEE5ED34-A7BE-4E7F-BD2A-99B3EFF8A08C}"/>
    <cellStyle name="Normal 5 2 2 5 2 4" xfId="9397" xr:uid="{3CB0B9A4-F907-4F52-ACFC-7970F7AF9B13}"/>
    <cellStyle name="Normal 5 2 2 5 2 4 2" xfId="18712" xr:uid="{832F70BC-F34E-49DD-A1A2-B3A225284A9C}"/>
    <cellStyle name="Normal 5 2 2 5 2 5" xfId="10318" xr:uid="{6409C24F-3234-4FBF-BB92-1567FC48F6FC}"/>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2D6F6994-A4C5-425B-AFCD-5BCFEEAE0A29}"/>
    <cellStyle name="Normal 5 2 2 5 3 2 3" xfId="12876" xr:uid="{5A44DD99-BBF4-4A2D-A8F2-A8F6F2B5FDB6}"/>
    <cellStyle name="Normal 5 2 2 5 3 3" xfId="5622" xr:uid="{00000000-0005-0000-0000-000016180000}"/>
    <cellStyle name="Normal 5 2 2 5 3 3 2" xfId="14948" xr:uid="{8E00E566-67C1-4BA6-BD9D-C4E0FF43A7DA}"/>
    <cellStyle name="Normal 5 2 2 5 3 4" xfId="10731" xr:uid="{7E775E93-E0E3-4461-8882-B884BB6392DE}"/>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3D503870-00CF-4101-9902-964F01903A0A}"/>
    <cellStyle name="Normal 5 2 2 5 4 2 3" xfId="13289" xr:uid="{01C49494-1D1B-47D1-AF22-C7F59F5161DA}"/>
    <cellStyle name="Normal 5 2 2 5 4 3" xfId="6035" xr:uid="{00000000-0005-0000-0000-00001A180000}"/>
    <cellStyle name="Normal 5 2 2 5 4 3 2" xfId="15361" xr:uid="{1463B71A-6EFE-4F8D-86A0-5406B95CBD83}"/>
    <cellStyle name="Normal 5 2 2 5 4 4" xfId="11144" xr:uid="{BBE30C3F-4B92-4F4C-93FB-1ED0A8733EEF}"/>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9C0D9183-3BBF-4696-9FE8-CEEA7D0CC46E}"/>
    <cellStyle name="Normal 5 2 2 5 5 2 3" xfId="13702" xr:uid="{2A32596F-7947-4E64-AD59-71AD3963DDB5}"/>
    <cellStyle name="Normal 5 2 2 5 5 3" xfId="6448" xr:uid="{00000000-0005-0000-0000-00001E180000}"/>
    <cellStyle name="Normal 5 2 2 5 5 3 2" xfId="15774" xr:uid="{44AE4111-D65A-4447-A866-F57015D67A16}"/>
    <cellStyle name="Normal 5 2 2 5 5 4" xfId="11557" xr:uid="{FBC604F8-A7B3-4B5A-A9AA-41C33A7599A4}"/>
    <cellStyle name="Normal 5 2 2 5 6" xfId="2578" xr:uid="{00000000-0005-0000-0000-00001F180000}"/>
    <cellStyle name="Normal 5 2 2 5 6 2" xfId="6861" xr:uid="{00000000-0005-0000-0000-000020180000}"/>
    <cellStyle name="Normal 5 2 2 5 6 2 2" xfId="16187" xr:uid="{0B1C1EE9-2DE4-4BCE-AE33-E122556F0684}"/>
    <cellStyle name="Normal 5 2 2 5 6 3" xfId="11970" xr:uid="{7B2F9018-1305-4547-AE32-F3C9C67A4AD0}"/>
    <cellStyle name="Normal 5 2 2 5 7" xfId="4796" xr:uid="{00000000-0005-0000-0000-000021180000}"/>
    <cellStyle name="Normal 5 2 2 5 7 2" xfId="14122" xr:uid="{307108FC-2726-4A2F-841A-CAA8A5D15A1A}"/>
    <cellStyle name="Normal 5 2 2 5 8" xfId="8972" xr:uid="{3CCC8856-6464-4309-A4F9-43F74A48C503}"/>
    <cellStyle name="Normal 5 2 2 5 8 2" xfId="18296" xr:uid="{0E21210E-A02E-4863-A854-353E07EF23CD}"/>
    <cellStyle name="Normal 5 2 2 5 9" xfId="9905" xr:uid="{8D460717-3392-4C0B-84BD-FCA2B29DDD2F}"/>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09D80D2A-C94D-4FE6-9470-4988A647CA96}"/>
    <cellStyle name="Normal 5 2 2 6 2 3" xfId="12448" xr:uid="{143F1971-5977-40AC-A7DC-7713E81BAFC1}"/>
    <cellStyle name="Normal 5 2 2 6 3" xfId="5194" xr:uid="{00000000-0005-0000-0000-000025180000}"/>
    <cellStyle name="Normal 5 2 2 6 3 2" xfId="14520" xr:uid="{0676C499-F3D6-45D7-B29E-439A01A174A6}"/>
    <cellStyle name="Normal 5 2 2 6 4" xfId="9175" xr:uid="{A0BC076A-DB75-4963-A17E-57836FA6391D}"/>
    <cellStyle name="Normal 5 2 2 6 4 2" xfId="18493" xr:uid="{FC31EFB9-35F8-4457-BB0E-FF7294FE36F5}"/>
    <cellStyle name="Normal 5 2 2 6 5" xfId="10303" xr:uid="{A0B4764C-2D87-4C46-AC3D-7F35EF7A1E77}"/>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A76A8BD1-DD68-4AEC-846F-3F8B260BF55D}"/>
    <cellStyle name="Normal 5 2 2 7 2 3" xfId="12861" xr:uid="{D942F018-AC78-4171-88D8-31A503F986D5}"/>
    <cellStyle name="Normal 5 2 2 7 3" xfId="5607" xr:uid="{00000000-0005-0000-0000-000029180000}"/>
    <cellStyle name="Normal 5 2 2 7 3 2" xfId="14933" xr:uid="{3CA8EE9F-4AA1-4E15-B34E-376412473B31}"/>
    <cellStyle name="Normal 5 2 2 7 4" xfId="10716" xr:uid="{7B6AB785-2855-4BBE-9941-F5D550A883CB}"/>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3A8D55B7-1F54-49FA-9882-7CAC7C38CAFA}"/>
    <cellStyle name="Normal 5 2 2 8 2 3" xfId="13274" xr:uid="{3623CA5A-83FD-4D54-823E-2B02930F2D52}"/>
    <cellStyle name="Normal 5 2 2 8 3" xfId="6020" xr:uid="{00000000-0005-0000-0000-00002D180000}"/>
    <cellStyle name="Normal 5 2 2 8 3 2" xfId="15346" xr:uid="{B4442B9B-453F-40EA-8324-152792ED74B8}"/>
    <cellStyle name="Normal 5 2 2 8 4" xfId="11129" xr:uid="{3DF57A9D-BBE1-405C-B06C-437785B8D0D3}"/>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27599AD7-D8C1-4F16-85A0-A353C720F807}"/>
    <cellStyle name="Normal 5 2 2 9 2 3" xfId="13687" xr:uid="{BB4C0BDB-2799-4275-924A-E98D2BC13272}"/>
    <cellStyle name="Normal 5 2 2 9 3" xfId="6433" xr:uid="{00000000-0005-0000-0000-000031180000}"/>
    <cellStyle name="Normal 5 2 2 9 3 2" xfId="15759" xr:uid="{10D47FBA-78CA-4D42-A61B-942A108F5EF0}"/>
    <cellStyle name="Normal 5 2 2 9 4" xfId="11542" xr:uid="{3C88128D-2DE1-483A-92B6-17C63B3D8F8C}"/>
    <cellStyle name="Normal 5 2 3" xfId="424" xr:uid="{00000000-0005-0000-0000-000032180000}"/>
    <cellStyle name="Normal 5 2 3 10" xfId="4797" xr:uid="{00000000-0005-0000-0000-000033180000}"/>
    <cellStyle name="Normal 5 2 3 10 2" xfId="14123" xr:uid="{C35800F7-F6B7-4678-BF90-8F6C0F727998}"/>
    <cellStyle name="Normal 5 2 3 11" xfId="8776" xr:uid="{883173D2-CE3E-48F3-8E13-32EAEF7B08C3}"/>
    <cellStyle name="Normal 5 2 3 11 2" xfId="18100" xr:uid="{EA3B99B9-970D-4E55-BA0C-F17008829A5B}"/>
    <cellStyle name="Normal 5 2 3 12" xfId="9906" xr:uid="{A2DDB0DE-B2E0-4DE3-A367-FB7D85AE767D}"/>
    <cellStyle name="Normal 5 2 3 2" xfId="425" xr:uid="{00000000-0005-0000-0000-000034180000}"/>
    <cellStyle name="Normal 5 2 3 2 10" xfId="8830" xr:uid="{287E15F2-6F23-4B3E-B8AA-9DE92D950FBA}"/>
    <cellStyle name="Normal 5 2 3 2 10 2" xfId="18154" xr:uid="{1195B722-6318-4C06-BB46-17A8933F54D4}"/>
    <cellStyle name="Normal 5 2 3 2 11" xfId="9907" xr:uid="{B0D91780-604B-4E1F-9F8C-90AB40DDD604}"/>
    <cellStyle name="Normal 5 2 3 2 2" xfId="426" xr:uid="{00000000-0005-0000-0000-000035180000}"/>
    <cellStyle name="Normal 5 2 3 2 2 10" xfId="9908" xr:uid="{C8518574-4889-43C7-B68B-4363544E5B9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2ED06FD2-E882-4523-ACFF-B89CA53FCF50}"/>
    <cellStyle name="Normal 5 2 3 2 2 2 2 2 3" xfId="12467" xr:uid="{4F6A3395-1E19-411C-BF2C-ADF6C8E5F792}"/>
    <cellStyle name="Normal 5 2 3 2 2 2 2 3" xfId="5213" xr:uid="{00000000-0005-0000-0000-00003A180000}"/>
    <cellStyle name="Normal 5 2 3 2 2 2 2 3 2" xfId="14539" xr:uid="{78B70AD7-8F62-4240-A227-FB9F8BF94FF1}"/>
    <cellStyle name="Normal 5 2 3 2 2 2 2 4" xfId="9565" xr:uid="{B33C5ECB-02D9-4BAF-B467-F38E8EEB7F6E}"/>
    <cellStyle name="Normal 5 2 3 2 2 2 2 4 2" xfId="18880" xr:uid="{93DAAB4A-C162-4C29-A655-9A0A77A96735}"/>
    <cellStyle name="Normal 5 2 3 2 2 2 2 5" xfId="10322" xr:uid="{180EC452-1BD5-46A8-BAD2-F783508DEFC4}"/>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6881C505-F198-4EEC-9165-B183ADE746D2}"/>
    <cellStyle name="Normal 5 2 3 2 2 2 3 2 3" xfId="12880" xr:uid="{0FE15833-22E8-4876-A4DA-640776CEFD99}"/>
    <cellStyle name="Normal 5 2 3 2 2 2 3 3" xfId="5626" xr:uid="{00000000-0005-0000-0000-00003E180000}"/>
    <cellStyle name="Normal 5 2 3 2 2 2 3 3 2" xfId="14952" xr:uid="{AF794A9D-598E-4F30-AEE9-1A99C043FE90}"/>
    <cellStyle name="Normal 5 2 3 2 2 2 3 4" xfId="10735" xr:uid="{058F2DC4-62A9-4EC8-A7B8-E582C037F34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35079506-016E-4779-BDE0-7CA0EBE8D73D}"/>
    <cellStyle name="Normal 5 2 3 2 2 2 4 2 3" xfId="13293" xr:uid="{61CE61A5-9CC4-4D85-A54D-D9CC7234F1BD}"/>
    <cellStyle name="Normal 5 2 3 2 2 2 4 3" xfId="6039" xr:uid="{00000000-0005-0000-0000-000042180000}"/>
    <cellStyle name="Normal 5 2 3 2 2 2 4 3 2" xfId="15365" xr:uid="{3AD102B0-69C0-43E7-A39B-64E5C1EA5107}"/>
    <cellStyle name="Normal 5 2 3 2 2 2 4 4" xfId="11148" xr:uid="{26045BB1-160E-47CB-88D8-32D214A7E13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F3C478F3-58D0-47FD-8670-0DD3EA5E7253}"/>
    <cellStyle name="Normal 5 2 3 2 2 2 5 2 3" xfId="13706" xr:uid="{A49CB917-64CA-4A17-A223-55547AA12D13}"/>
    <cellStyle name="Normal 5 2 3 2 2 2 5 3" xfId="6452" xr:uid="{00000000-0005-0000-0000-000046180000}"/>
    <cellStyle name="Normal 5 2 3 2 2 2 5 3 2" xfId="15778" xr:uid="{00B75C4B-1A34-4CD4-B9F2-A8E43CB1EA98}"/>
    <cellStyle name="Normal 5 2 3 2 2 2 5 4" xfId="11561" xr:uid="{441AA500-F3B4-47D6-ADCB-B70801EA47B0}"/>
    <cellStyle name="Normal 5 2 3 2 2 2 6" xfId="2582" xr:uid="{00000000-0005-0000-0000-000047180000}"/>
    <cellStyle name="Normal 5 2 3 2 2 2 6 2" xfId="6865" xr:uid="{00000000-0005-0000-0000-000048180000}"/>
    <cellStyle name="Normal 5 2 3 2 2 2 6 2 2" xfId="16191" xr:uid="{37306A17-E874-4358-A0D5-FDF600DA9F70}"/>
    <cellStyle name="Normal 5 2 3 2 2 2 6 3" xfId="11974" xr:uid="{2AC3EC17-D35D-41C3-8212-4FB4F2EDA81E}"/>
    <cellStyle name="Normal 5 2 3 2 2 2 7" xfId="4800" xr:uid="{00000000-0005-0000-0000-000049180000}"/>
    <cellStyle name="Normal 5 2 3 2 2 2 7 2" xfId="14126" xr:uid="{1914CEA3-95FA-454A-A582-F1BF84D51EB7}"/>
    <cellStyle name="Normal 5 2 3 2 2 2 8" xfId="9140" xr:uid="{175A16DB-BA54-4083-AB68-1FA46DB27A86}"/>
    <cellStyle name="Normal 5 2 3 2 2 2 8 2" xfId="18464" xr:uid="{2765CC2C-8C7C-416A-85B5-BDCF635E713F}"/>
    <cellStyle name="Normal 5 2 3 2 2 2 9" xfId="9909" xr:uid="{97A7183F-9911-400B-8466-5079C410D2CB}"/>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EB418014-0E77-4B17-82D9-1C4950C06435}"/>
    <cellStyle name="Normal 5 2 3 2 2 3 2 3" xfId="12466" xr:uid="{822B72BD-1E74-4818-8D37-8B030A43943F}"/>
    <cellStyle name="Normal 5 2 3 2 2 3 3" xfId="5212" xr:uid="{00000000-0005-0000-0000-00004D180000}"/>
    <cellStyle name="Normal 5 2 3 2 2 3 3 2" xfId="14538" xr:uid="{DA990C2E-D28B-420D-8208-0E810CED5A85}"/>
    <cellStyle name="Normal 5 2 3 2 2 3 4" xfId="9358" xr:uid="{5B196E7D-8DD9-4C59-A83C-7626B0E60040}"/>
    <cellStyle name="Normal 5 2 3 2 2 3 4 2" xfId="18673" xr:uid="{93051C36-198A-4FF6-A509-086124B7A2C5}"/>
    <cellStyle name="Normal 5 2 3 2 2 3 5" xfId="10321" xr:uid="{1EB355B1-D8C4-4EE5-8ABB-40CCF42F2F64}"/>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2638DE55-C168-4A1F-BC67-9BA9B6A3D0EC}"/>
    <cellStyle name="Normal 5 2 3 2 2 4 2 3" xfId="12879" xr:uid="{A6D767AA-A8A0-4665-A51C-ED8DD17D59B1}"/>
    <cellStyle name="Normal 5 2 3 2 2 4 3" xfId="5625" xr:uid="{00000000-0005-0000-0000-000051180000}"/>
    <cellStyle name="Normal 5 2 3 2 2 4 3 2" xfId="14951" xr:uid="{9B47DAFD-15B9-4358-99C0-111B4CEBD7BD}"/>
    <cellStyle name="Normal 5 2 3 2 2 4 4" xfId="10734" xr:uid="{EE5B254B-AF73-4CC6-AE0E-A4404FA271C7}"/>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B7B799C3-5D05-4B35-8AF2-5D3A851E96B1}"/>
    <cellStyle name="Normal 5 2 3 2 2 5 2 3" xfId="13292" xr:uid="{D08BBB07-F529-4B16-9736-1DF39F6B6031}"/>
    <cellStyle name="Normal 5 2 3 2 2 5 3" xfId="6038" xr:uid="{00000000-0005-0000-0000-000055180000}"/>
    <cellStyle name="Normal 5 2 3 2 2 5 3 2" xfId="15364" xr:uid="{0DF97D3C-C365-4365-80BE-8E9205F795E2}"/>
    <cellStyle name="Normal 5 2 3 2 2 5 4" xfId="11147" xr:uid="{524D991C-1169-4137-ABBD-D27121C3651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31DD6BCF-5930-43B5-8C65-5B7335A69CEF}"/>
    <cellStyle name="Normal 5 2 3 2 2 6 2 3" xfId="13705" xr:uid="{55436FA5-399D-4386-9BC9-C1721B13D1B9}"/>
    <cellStyle name="Normal 5 2 3 2 2 6 3" xfId="6451" xr:uid="{00000000-0005-0000-0000-000059180000}"/>
    <cellStyle name="Normal 5 2 3 2 2 6 3 2" xfId="15777" xr:uid="{5AB3E115-196C-4907-9FFD-A4C9CA221945}"/>
    <cellStyle name="Normal 5 2 3 2 2 6 4" xfId="11560" xr:uid="{DDB6AF52-40C1-4792-8DF6-74818FCE16BF}"/>
    <cellStyle name="Normal 5 2 3 2 2 7" xfId="2581" xr:uid="{00000000-0005-0000-0000-00005A180000}"/>
    <cellStyle name="Normal 5 2 3 2 2 7 2" xfId="6864" xr:uid="{00000000-0005-0000-0000-00005B180000}"/>
    <cellStyle name="Normal 5 2 3 2 2 7 2 2" xfId="16190" xr:uid="{B83E185C-DE9B-4E1D-9F7E-66026BCE445A}"/>
    <cellStyle name="Normal 5 2 3 2 2 7 3" xfId="11973" xr:uid="{F7008397-DB56-4419-BFD7-7599DEB9937F}"/>
    <cellStyle name="Normal 5 2 3 2 2 8" xfId="4799" xr:uid="{00000000-0005-0000-0000-00005C180000}"/>
    <cellStyle name="Normal 5 2 3 2 2 8 2" xfId="14125" xr:uid="{5FF2039C-D321-4A1C-A00C-7DD2F9A99586}"/>
    <cellStyle name="Normal 5 2 3 2 2 9" xfId="8933" xr:uid="{2228AC18-CB51-4AF4-A227-403A8409C6C2}"/>
    <cellStyle name="Normal 5 2 3 2 2 9 2" xfId="18257" xr:uid="{AA2CBAC7-F165-41C7-A69E-633E2554116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797C500A-7E17-4940-B807-193C2E14FC52}"/>
    <cellStyle name="Normal 5 2 3 2 3 2 2 3" xfId="12468" xr:uid="{9E5F5D7A-4FE5-44CD-9209-A7295DFB09F1}"/>
    <cellStyle name="Normal 5 2 3 2 3 2 3" xfId="5214" xr:uid="{00000000-0005-0000-0000-000061180000}"/>
    <cellStyle name="Normal 5 2 3 2 3 2 3 2" xfId="14540" xr:uid="{72E75CBE-0D6C-4922-BE85-AD38F0C19029}"/>
    <cellStyle name="Normal 5 2 3 2 3 2 4" xfId="9462" xr:uid="{B4C14F1A-A88A-428F-A7F8-BAFD7E5CD045}"/>
    <cellStyle name="Normal 5 2 3 2 3 2 4 2" xfId="18777" xr:uid="{F5AEADBB-7096-4D23-BC57-F82AAABA6F33}"/>
    <cellStyle name="Normal 5 2 3 2 3 2 5" xfId="10323" xr:uid="{23C7CBE2-AEC8-4D15-9B7A-297B2E4106D2}"/>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B4AA62F4-0DAF-4516-A42F-236789C1F392}"/>
    <cellStyle name="Normal 5 2 3 2 3 3 2 3" xfId="12881" xr:uid="{6941EDFE-8ECF-4D5D-99D8-70AEF58B9FFC}"/>
    <cellStyle name="Normal 5 2 3 2 3 3 3" xfId="5627" xr:uid="{00000000-0005-0000-0000-000065180000}"/>
    <cellStyle name="Normal 5 2 3 2 3 3 3 2" xfId="14953" xr:uid="{07A38961-7634-4368-8A22-E33250173AD1}"/>
    <cellStyle name="Normal 5 2 3 2 3 3 4" xfId="10736" xr:uid="{B09601C7-A132-4C99-8F7C-C05D82257F9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ABB42321-D972-4E53-AEAB-D2DD71775392}"/>
    <cellStyle name="Normal 5 2 3 2 3 4 2 3" xfId="13294" xr:uid="{66EBD343-74B2-42B4-9E80-84A85A6B6DDB}"/>
    <cellStyle name="Normal 5 2 3 2 3 4 3" xfId="6040" xr:uid="{00000000-0005-0000-0000-000069180000}"/>
    <cellStyle name="Normal 5 2 3 2 3 4 3 2" xfId="15366" xr:uid="{69A4BAEF-DA41-4AFA-989A-71402683C1F3}"/>
    <cellStyle name="Normal 5 2 3 2 3 4 4" xfId="11149" xr:uid="{D81A9584-2152-40DF-ACEA-03931A7EB928}"/>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445117E5-F76D-44E4-AD9A-4222026A6CD3}"/>
    <cellStyle name="Normal 5 2 3 2 3 5 2 3" xfId="13707" xr:uid="{02D0021B-1CCC-4458-9765-285554E859F7}"/>
    <cellStyle name="Normal 5 2 3 2 3 5 3" xfId="6453" xr:uid="{00000000-0005-0000-0000-00006D180000}"/>
    <cellStyle name="Normal 5 2 3 2 3 5 3 2" xfId="15779" xr:uid="{DA034CB0-4898-4EBE-83B6-BF668E0368EA}"/>
    <cellStyle name="Normal 5 2 3 2 3 5 4" xfId="11562" xr:uid="{1EE8BC5A-EC18-4ED8-96A3-C82FB7DA08A5}"/>
    <cellStyle name="Normal 5 2 3 2 3 6" xfId="2583" xr:uid="{00000000-0005-0000-0000-00006E180000}"/>
    <cellStyle name="Normal 5 2 3 2 3 6 2" xfId="6866" xr:uid="{00000000-0005-0000-0000-00006F180000}"/>
    <cellStyle name="Normal 5 2 3 2 3 6 2 2" xfId="16192" xr:uid="{3E479610-5A68-4DAD-B9F0-05A3A96A9B61}"/>
    <cellStyle name="Normal 5 2 3 2 3 6 3" xfId="11975" xr:uid="{AE710F90-67C7-457B-B433-860A1A03AA38}"/>
    <cellStyle name="Normal 5 2 3 2 3 7" xfId="4801" xr:uid="{00000000-0005-0000-0000-000070180000}"/>
    <cellStyle name="Normal 5 2 3 2 3 7 2" xfId="14127" xr:uid="{F5D121A9-8ECA-4883-8B44-598EFADC85D9}"/>
    <cellStyle name="Normal 5 2 3 2 3 8" xfId="9037" xr:uid="{EED46D7F-EFCD-4AC1-931D-AB06B694E7BE}"/>
    <cellStyle name="Normal 5 2 3 2 3 8 2" xfId="18361" xr:uid="{3C436F75-9653-4D8A-B4BE-24E0FE3EF229}"/>
    <cellStyle name="Normal 5 2 3 2 3 9" xfId="9910" xr:uid="{C2175098-CB3E-4922-B94C-2F5D086E96D3}"/>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9ACC98A5-7ACD-4907-A272-7550E58547B5}"/>
    <cellStyle name="Normal 5 2 3 2 4 2 3" xfId="12465" xr:uid="{A8DFFCA3-36B2-4FCE-985F-309410A36943}"/>
    <cellStyle name="Normal 5 2 3 2 4 3" xfId="5211" xr:uid="{00000000-0005-0000-0000-000074180000}"/>
    <cellStyle name="Normal 5 2 3 2 4 3 2" xfId="14537" xr:uid="{A3C2A915-3C76-4FBE-A293-321727B182A7}"/>
    <cellStyle name="Normal 5 2 3 2 4 4" xfId="9255" xr:uid="{C5A161BB-6C4F-4A9D-BBA7-7500B0B26A70}"/>
    <cellStyle name="Normal 5 2 3 2 4 4 2" xfId="18570" xr:uid="{973F8A39-06A7-4F5B-86D4-865836D69B65}"/>
    <cellStyle name="Normal 5 2 3 2 4 5" xfId="10320" xr:uid="{7D9C28F4-EB3A-4087-9235-A3C56752AE6B}"/>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48107832-9646-43B0-955D-23FBC1756AA2}"/>
    <cellStyle name="Normal 5 2 3 2 5 2 3" xfId="12878" xr:uid="{D83F09D4-F099-48AE-BA0C-055617A8BA29}"/>
    <cellStyle name="Normal 5 2 3 2 5 3" xfId="5624" xr:uid="{00000000-0005-0000-0000-000078180000}"/>
    <cellStyle name="Normal 5 2 3 2 5 3 2" xfId="14950" xr:uid="{227542B8-DE87-499F-A540-F8714A94BFFC}"/>
    <cellStyle name="Normal 5 2 3 2 5 4" xfId="10733" xr:uid="{5DA75B43-5CDD-4C85-BC4A-48C9568FC186}"/>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1910D2E6-BE60-47C5-A7E3-73BAF7A2C2A2}"/>
    <cellStyle name="Normal 5 2 3 2 6 2 3" xfId="13291" xr:uid="{3793B625-E997-4207-A6F1-89B500CF380B}"/>
    <cellStyle name="Normal 5 2 3 2 6 3" xfId="6037" xr:uid="{00000000-0005-0000-0000-00007C180000}"/>
    <cellStyle name="Normal 5 2 3 2 6 3 2" xfId="15363" xr:uid="{7D4CCBC5-6B6E-4F63-AB71-174A622BCED0}"/>
    <cellStyle name="Normal 5 2 3 2 6 4" xfId="11146" xr:uid="{80A95661-5563-4DF5-B5EC-9BA9EC88F42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B348ED7B-A5D2-4C10-B979-CCD86315E420}"/>
    <cellStyle name="Normal 5 2 3 2 7 2 3" xfId="13704" xr:uid="{5F4829C3-9873-4B7D-83DF-F6F7DBECB3FD}"/>
    <cellStyle name="Normal 5 2 3 2 7 3" xfId="6450" xr:uid="{00000000-0005-0000-0000-000080180000}"/>
    <cellStyle name="Normal 5 2 3 2 7 3 2" xfId="15776" xr:uid="{1064803C-38A2-4CA1-B558-94FCEFCF2118}"/>
    <cellStyle name="Normal 5 2 3 2 7 4" xfId="11559" xr:uid="{C434893A-F1F5-4475-97E2-80C0B5243C52}"/>
    <cellStyle name="Normal 5 2 3 2 8" xfId="2580" xr:uid="{00000000-0005-0000-0000-000081180000}"/>
    <cellStyle name="Normal 5 2 3 2 8 2" xfId="6863" xr:uid="{00000000-0005-0000-0000-000082180000}"/>
    <cellStyle name="Normal 5 2 3 2 8 2 2" xfId="16189" xr:uid="{8825B6E5-308F-4E97-ACD9-34826B6127AC}"/>
    <cellStyle name="Normal 5 2 3 2 8 3" xfId="11972" xr:uid="{1B486860-4185-462F-AF19-E8676217329E}"/>
    <cellStyle name="Normal 5 2 3 2 9" xfId="4798" xr:uid="{00000000-0005-0000-0000-000083180000}"/>
    <cellStyle name="Normal 5 2 3 2 9 2" xfId="14124" xr:uid="{EFDA82CB-6B98-4269-81EC-3F581964FFED}"/>
    <cellStyle name="Normal 5 2 3 3" xfId="429" xr:uid="{00000000-0005-0000-0000-000084180000}"/>
    <cellStyle name="Normal 5 2 3 3 10" xfId="9911" xr:uid="{779B2B52-8736-4350-93AF-3D927D218017}"/>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CA8294BD-3096-49C4-A031-3D3D0B05F282}"/>
    <cellStyle name="Normal 5 2 3 3 2 2 2 3" xfId="12470" xr:uid="{E4D82399-8AD8-4502-A7DD-18D9B19BB3ED}"/>
    <cellStyle name="Normal 5 2 3 3 2 2 3" xfId="5216" xr:uid="{00000000-0005-0000-0000-000089180000}"/>
    <cellStyle name="Normal 5 2 3 3 2 2 3 2" xfId="14542" xr:uid="{CD176BC5-42FD-4558-AD17-144F115AEEA7}"/>
    <cellStyle name="Normal 5 2 3 3 2 2 4" xfId="9511" xr:uid="{75EF02F8-0397-4B30-A858-343ADCA7C08D}"/>
    <cellStyle name="Normal 5 2 3 3 2 2 4 2" xfId="18826" xr:uid="{919771F6-572C-41A0-A712-5084100FCF74}"/>
    <cellStyle name="Normal 5 2 3 3 2 2 5" xfId="10325" xr:uid="{F353CCAE-0817-4E99-9E75-27EB809CDAD6}"/>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83095EAA-DCCB-4793-9292-31DEB180E167}"/>
    <cellStyle name="Normal 5 2 3 3 2 3 2 3" xfId="12883" xr:uid="{F3A75504-CE80-4953-9953-C5F873DB8A1D}"/>
    <cellStyle name="Normal 5 2 3 3 2 3 3" xfId="5629" xr:uid="{00000000-0005-0000-0000-00008D180000}"/>
    <cellStyle name="Normal 5 2 3 3 2 3 3 2" xfId="14955" xr:uid="{3A1A1B6B-06C3-4CFA-BAD0-662BB31F0C20}"/>
    <cellStyle name="Normal 5 2 3 3 2 3 4" xfId="10738" xr:uid="{D003B2FD-D29A-43A0-B012-187EA453CC81}"/>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768D7C68-C8A2-4394-A874-A3DF8FE5A932}"/>
    <cellStyle name="Normal 5 2 3 3 2 4 2 3" xfId="13296" xr:uid="{E8DECFF8-F9AF-4E33-B3F9-066F0DC81738}"/>
    <cellStyle name="Normal 5 2 3 3 2 4 3" xfId="6042" xr:uid="{00000000-0005-0000-0000-000091180000}"/>
    <cellStyle name="Normal 5 2 3 3 2 4 3 2" xfId="15368" xr:uid="{8BED6193-742D-462A-8B8E-AE72FE728626}"/>
    <cellStyle name="Normal 5 2 3 3 2 4 4" xfId="11151" xr:uid="{702105C1-F62A-4A86-8BAA-A46A32EF6AE5}"/>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810F77C6-1443-4B2E-BEF1-AB5CE6EBB28B}"/>
    <cellStyle name="Normal 5 2 3 3 2 5 2 3" xfId="13709" xr:uid="{1F658079-D238-483B-BCCC-5A82059F6728}"/>
    <cellStyle name="Normal 5 2 3 3 2 5 3" xfId="6455" xr:uid="{00000000-0005-0000-0000-000095180000}"/>
    <cellStyle name="Normal 5 2 3 3 2 5 3 2" xfId="15781" xr:uid="{D7E9C576-B003-44A1-B016-2D80B78E8B47}"/>
    <cellStyle name="Normal 5 2 3 3 2 5 4" xfId="11564" xr:uid="{978A6A9A-CF78-4F3C-A1C5-9B6A1E9FC013}"/>
    <cellStyle name="Normal 5 2 3 3 2 6" xfId="2585" xr:uid="{00000000-0005-0000-0000-000096180000}"/>
    <cellStyle name="Normal 5 2 3 3 2 6 2" xfId="6868" xr:uid="{00000000-0005-0000-0000-000097180000}"/>
    <cellStyle name="Normal 5 2 3 3 2 6 2 2" xfId="16194" xr:uid="{7C1537C0-D6D4-4DCC-BF15-EB984CF74E7D}"/>
    <cellStyle name="Normal 5 2 3 3 2 6 3" xfId="11977" xr:uid="{9D7A8F79-8304-409C-B4CE-DBD767C7D329}"/>
    <cellStyle name="Normal 5 2 3 3 2 7" xfId="4803" xr:uid="{00000000-0005-0000-0000-000098180000}"/>
    <cellStyle name="Normal 5 2 3 3 2 7 2" xfId="14129" xr:uid="{465B7BE6-EE5E-4504-9F90-2452511ECAAB}"/>
    <cellStyle name="Normal 5 2 3 3 2 8" xfId="9086" xr:uid="{442E5F61-F00C-4774-822F-4985AB3E1CB7}"/>
    <cellStyle name="Normal 5 2 3 3 2 8 2" xfId="18410" xr:uid="{53A33DCC-9CB1-4976-ACBA-BFFE90853751}"/>
    <cellStyle name="Normal 5 2 3 3 2 9" xfId="9912" xr:uid="{F6682010-8A2B-4A51-87A7-B0A2E796AAE0}"/>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C9D89BD4-D02B-4457-986C-69969C7CF11F}"/>
    <cellStyle name="Normal 5 2 3 3 3 2 3" xfId="12469" xr:uid="{1E2E1ED6-C040-4189-A5FA-BD12FF27F26D}"/>
    <cellStyle name="Normal 5 2 3 3 3 3" xfId="5215" xr:uid="{00000000-0005-0000-0000-00009C180000}"/>
    <cellStyle name="Normal 5 2 3 3 3 3 2" xfId="14541" xr:uid="{46B17C53-8B24-420D-B821-25D5E5D9485B}"/>
    <cellStyle name="Normal 5 2 3 3 3 4" xfId="9304" xr:uid="{2C783A77-F32A-4E64-807E-062B95DB0310}"/>
    <cellStyle name="Normal 5 2 3 3 3 4 2" xfId="18619" xr:uid="{D666900C-0B3E-4626-BE2F-5E2C6ECDDEB3}"/>
    <cellStyle name="Normal 5 2 3 3 3 5" xfId="10324" xr:uid="{13E9603B-C7D0-4F29-9933-172653424459}"/>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4E71C359-CE20-41A5-A9F6-EE366E455D86}"/>
    <cellStyle name="Normal 5 2 3 3 4 2 3" xfId="12882" xr:uid="{0D5ED2DA-CE2E-41E6-BDB8-F01AFDBD9E5F}"/>
    <cellStyle name="Normal 5 2 3 3 4 3" xfId="5628" xr:uid="{00000000-0005-0000-0000-0000A0180000}"/>
    <cellStyle name="Normal 5 2 3 3 4 3 2" xfId="14954" xr:uid="{546E3883-4782-4475-8019-FAD29497184F}"/>
    <cellStyle name="Normal 5 2 3 3 4 4" xfId="10737" xr:uid="{DCFFE8C6-01DC-42AD-A0B1-BB3B4DB9E813}"/>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FEBF25B9-4010-42D4-906B-804617DD8888}"/>
    <cellStyle name="Normal 5 2 3 3 5 2 3" xfId="13295" xr:uid="{4E4FB278-A38E-426D-A433-7F3A7C242405}"/>
    <cellStyle name="Normal 5 2 3 3 5 3" xfId="6041" xr:uid="{00000000-0005-0000-0000-0000A4180000}"/>
    <cellStyle name="Normal 5 2 3 3 5 3 2" xfId="15367" xr:uid="{4D0BB808-B70E-4144-9A64-BC227098DC36}"/>
    <cellStyle name="Normal 5 2 3 3 5 4" xfId="11150" xr:uid="{B6B46492-1459-490F-81D3-88DEF0049B4D}"/>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8CFCFDB1-84B1-4E73-9131-90D8520F34C0}"/>
    <cellStyle name="Normal 5 2 3 3 6 2 3" xfId="13708" xr:uid="{F7D9B2BB-0F39-4CF9-A789-7C7D6AB13BBE}"/>
    <cellStyle name="Normal 5 2 3 3 6 3" xfId="6454" xr:uid="{00000000-0005-0000-0000-0000A8180000}"/>
    <cellStyle name="Normal 5 2 3 3 6 3 2" xfId="15780" xr:uid="{09DB05AC-6AEB-40A0-8513-264A8EC8D4F9}"/>
    <cellStyle name="Normal 5 2 3 3 6 4" xfId="11563" xr:uid="{88C624B7-406E-4FA2-8515-DCEAC1A3BDCC}"/>
    <cellStyle name="Normal 5 2 3 3 7" xfId="2584" xr:uid="{00000000-0005-0000-0000-0000A9180000}"/>
    <cellStyle name="Normal 5 2 3 3 7 2" xfId="6867" xr:uid="{00000000-0005-0000-0000-0000AA180000}"/>
    <cellStyle name="Normal 5 2 3 3 7 2 2" xfId="16193" xr:uid="{C6AF7C52-EF3B-4DA2-88CD-070C7B506538}"/>
    <cellStyle name="Normal 5 2 3 3 7 3" xfId="11976" xr:uid="{8538829B-270B-49E6-9ACA-04172E4123C3}"/>
    <cellStyle name="Normal 5 2 3 3 8" xfId="4802" xr:uid="{00000000-0005-0000-0000-0000AB180000}"/>
    <cellStyle name="Normal 5 2 3 3 8 2" xfId="14128" xr:uid="{7FDC9599-3D14-41A1-82EE-4A9AEF66B222}"/>
    <cellStyle name="Normal 5 2 3 3 9" xfId="8879" xr:uid="{F521005C-E3E0-4B64-9C0A-0C510FB9AAB2}"/>
    <cellStyle name="Normal 5 2 3 3 9 2" xfId="18203" xr:uid="{F245353E-78A6-475B-8661-FF6B69C069F1}"/>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642D37B4-4DCA-4EE1-BC47-61BD5B824EBF}"/>
    <cellStyle name="Normal 5 2 3 4 2 2 3" xfId="12471" xr:uid="{FC171781-500D-4770-9F73-10F99FB4B084}"/>
    <cellStyle name="Normal 5 2 3 4 2 3" xfId="5217" xr:uid="{00000000-0005-0000-0000-0000B0180000}"/>
    <cellStyle name="Normal 5 2 3 4 2 3 2" xfId="14543" xr:uid="{0C086397-347B-4F8B-904A-1F43C99489CD}"/>
    <cellStyle name="Normal 5 2 3 4 2 4" xfId="9408" xr:uid="{3B6F9C6F-3D7C-45F8-99FE-451C0F8CED36}"/>
    <cellStyle name="Normal 5 2 3 4 2 4 2" xfId="18723" xr:uid="{D110681B-AA14-4C4F-8DD6-B9D1B0CDCE48}"/>
    <cellStyle name="Normal 5 2 3 4 2 5" xfId="10326" xr:uid="{32BD63F8-BD54-4F4C-92A3-B16D1D0F0CA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E25BCA94-7D7A-4464-BB67-465D3AAC71B9}"/>
    <cellStyle name="Normal 5 2 3 4 3 2 3" xfId="12884" xr:uid="{7B778448-180D-4542-AFC1-6CAEA9D7700E}"/>
    <cellStyle name="Normal 5 2 3 4 3 3" xfId="5630" xr:uid="{00000000-0005-0000-0000-0000B4180000}"/>
    <cellStyle name="Normal 5 2 3 4 3 3 2" xfId="14956" xr:uid="{4F0F4591-CE89-4F4C-8532-2632E86418AC}"/>
    <cellStyle name="Normal 5 2 3 4 3 4" xfId="10739" xr:uid="{F1F1C216-1970-4065-B8DE-3E4A9693383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AD0A9637-8CA0-4E04-8843-9422D2266437}"/>
    <cellStyle name="Normal 5 2 3 4 4 2 3" xfId="13297" xr:uid="{9B8C441F-F7C3-4EAA-9EC4-2634DE0ABD29}"/>
    <cellStyle name="Normal 5 2 3 4 4 3" xfId="6043" xr:uid="{00000000-0005-0000-0000-0000B8180000}"/>
    <cellStyle name="Normal 5 2 3 4 4 3 2" xfId="15369" xr:uid="{0882979D-FA55-4696-B461-60E4FD8902E8}"/>
    <cellStyle name="Normal 5 2 3 4 4 4" xfId="11152" xr:uid="{B617F62E-F84D-4A4E-9F7F-BF34783B1F9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8D5992F9-983C-476B-8127-1DA00147903A}"/>
    <cellStyle name="Normal 5 2 3 4 5 2 3" xfId="13710" xr:uid="{ED0229CE-4E0B-413B-A835-C42C6156B52A}"/>
    <cellStyle name="Normal 5 2 3 4 5 3" xfId="6456" xr:uid="{00000000-0005-0000-0000-0000BC180000}"/>
    <cellStyle name="Normal 5 2 3 4 5 3 2" xfId="15782" xr:uid="{9CFDE612-B0EC-42BF-94FB-54D7222D5285}"/>
    <cellStyle name="Normal 5 2 3 4 5 4" xfId="11565" xr:uid="{D6C7C939-B2DA-4E08-ABD1-FE111E1FF3BE}"/>
    <cellStyle name="Normal 5 2 3 4 6" xfId="2586" xr:uid="{00000000-0005-0000-0000-0000BD180000}"/>
    <cellStyle name="Normal 5 2 3 4 6 2" xfId="6869" xr:uid="{00000000-0005-0000-0000-0000BE180000}"/>
    <cellStyle name="Normal 5 2 3 4 6 2 2" xfId="16195" xr:uid="{23257DFA-3F41-45E3-B7A6-1BAE088B18B4}"/>
    <cellStyle name="Normal 5 2 3 4 6 3" xfId="11978" xr:uid="{229C75F4-FD69-4144-9286-A45947E18CB7}"/>
    <cellStyle name="Normal 5 2 3 4 7" xfId="4804" xr:uid="{00000000-0005-0000-0000-0000BF180000}"/>
    <cellStyle name="Normal 5 2 3 4 7 2" xfId="14130" xr:uid="{7B6EC73B-D3CD-42D4-9D12-F30EAA1BCEF1}"/>
    <cellStyle name="Normal 5 2 3 4 8" xfId="8983" xr:uid="{07388FCC-03DE-4CE8-89CB-9C92F8174E24}"/>
    <cellStyle name="Normal 5 2 3 4 8 2" xfId="18307" xr:uid="{F0B06B64-5916-40BF-BC34-DE19B35C9CDE}"/>
    <cellStyle name="Normal 5 2 3 4 9" xfId="9913" xr:uid="{531B150E-68C9-487F-874F-B2C893A75EF9}"/>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43E1F610-0AC4-478A-9AFE-E41532BDAB80}"/>
    <cellStyle name="Normal 5 2 3 5 2 3" xfId="12464" xr:uid="{E96445A3-0D83-4485-BEF9-69D7FF268401}"/>
    <cellStyle name="Normal 5 2 3 5 3" xfId="5210" xr:uid="{00000000-0005-0000-0000-0000C3180000}"/>
    <cellStyle name="Normal 5 2 3 5 3 2" xfId="14536" xr:uid="{CF472BC9-4B31-41FB-959D-357E9EA44D08}"/>
    <cellStyle name="Normal 5 2 3 5 4" xfId="9200" xr:uid="{13DE827A-4007-427A-9869-ADBBE6B70993}"/>
    <cellStyle name="Normal 5 2 3 5 4 2" xfId="18516" xr:uid="{0268BCEA-154F-4A9D-95C6-D7A29DB91E6D}"/>
    <cellStyle name="Normal 5 2 3 5 5" xfId="10319" xr:uid="{65197C3E-77A1-4A74-B5CC-81363FCA61F9}"/>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C8FD5D93-9935-45D3-ABF1-683CECF2EAE7}"/>
    <cellStyle name="Normal 5 2 3 6 2 3" xfId="12877" xr:uid="{A2D74114-9A34-4042-A4ED-B3170FE561D3}"/>
    <cellStyle name="Normal 5 2 3 6 3" xfId="5623" xr:uid="{00000000-0005-0000-0000-0000C7180000}"/>
    <cellStyle name="Normal 5 2 3 6 3 2" xfId="14949" xr:uid="{D8A16BFC-2DF3-45BB-948C-9BF8BF46CD53}"/>
    <cellStyle name="Normal 5 2 3 6 4" xfId="10732" xr:uid="{23D06D35-A872-428D-AEB6-A37AD90641C9}"/>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271A1173-7262-442E-85E9-DA0F09CF5AC7}"/>
    <cellStyle name="Normal 5 2 3 7 2 3" xfId="13290" xr:uid="{3DF1BBF1-1F7E-4FA8-AECD-FF57A0C287CD}"/>
    <cellStyle name="Normal 5 2 3 7 3" xfId="6036" xr:uid="{00000000-0005-0000-0000-0000CB180000}"/>
    <cellStyle name="Normal 5 2 3 7 3 2" xfId="15362" xr:uid="{00D2F2C2-F71E-42FB-8EC7-6F67D92FD2EE}"/>
    <cellStyle name="Normal 5 2 3 7 4" xfId="11145" xr:uid="{54E56605-CBB1-454A-9CB0-EC9ED5BF8043}"/>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82037AA5-60E1-4808-BE47-AD89E6F8B8DD}"/>
    <cellStyle name="Normal 5 2 3 8 2 3" xfId="13703" xr:uid="{BD614BCB-4541-452B-96B2-D832ACC3BABE}"/>
    <cellStyle name="Normal 5 2 3 8 3" xfId="6449" xr:uid="{00000000-0005-0000-0000-0000CF180000}"/>
    <cellStyle name="Normal 5 2 3 8 3 2" xfId="15775" xr:uid="{2919FEC0-833D-484D-B094-867B41C571A5}"/>
    <cellStyle name="Normal 5 2 3 8 4" xfId="11558" xr:uid="{2AA1DAF5-329E-45FC-87E5-8CCC89052026}"/>
    <cellStyle name="Normal 5 2 3 9" xfId="2579" xr:uid="{00000000-0005-0000-0000-0000D0180000}"/>
    <cellStyle name="Normal 5 2 3 9 2" xfId="6862" xr:uid="{00000000-0005-0000-0000-0000D1180000}"/>
    <cellStyle name="Normal 5 2 3 9 2 2" xfId="16188" xr:uid="{F8CF9D7B-8C4B-4B8E-B034-FBBE5787A831}"/>
    <cellStyle name="Normal 5 2 3 9 3" xfId="11971" xr:uid="{1BEF7363-E7F8-432B-8E98-4205162D5FD4}"/>
    <cellStyle name="Normal 5 2 4" xfId="432" xr:uid="{00000000-0005-0000-0000-0000D2180000}"/>
    <cellStyle name="Normal 5 2 4 10" xfId="8827" xr:uid="{1EC4F605-F0BA-487E-A3C0-2CBAE7C22D8A}"/>
    <cellStyle name="Normal 5 2 4 10 2" xfId="18151" xr:uid="{866EB460-D658-4A1F-B7D2-F86DFFBE19DE}"/>
    <cellStyle name="Normal 5 2 4 11" xfId="9914" xr:uid="{F0F5B963-007E-402F-8BBF-B07DF2DB7D62}"/>
    <cellStyle name="Normal 5 2 4 2" xfId="433" xr:uid="{00000000-0005-0000-0000-0000D3180000}"/>
    <cellStyle name="Normal 5 2 4 2 10" xfId="9915" xr:uid="{F24B4D7F-8989-4CBE-B73B-F139552BEC5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29AFA284-D045-4F21-9ECE-8DD7D4E5E62B}"/>
    <cellStyle name="Normal 5 2 4 2 2 2 2 3" xfId="12474" xr:uid="{845F9D2B-22A4-47A1-85E0-D3E6CB473622}"/>
    <cellStyle name="Normal 5 2 4 2 2 2 3" xfId="5220" xr:uid="{00000000-0005-0000-0000-0000D8180000}"/>
    <cellStyle name="Normal 5 2 4 2 2 2 3 2" xfId="14546" xr:uid="{38E23130-083C-49E7-80D4-2E9D064A3533}"/>
    <cellStyle name="Normal 5 2 4 2 2 2 4" xfId="9562" xr:uid="{5E243FB4-F3B1-4B34-B377-1444454AD19E}"/>
    <cellStyle name="Normal 5 2 4 2 2 2 4 2" xfId="18877" xr:uid="{14BC5A2F-D162-410A-AA0C-B72AA2FC1336}"/>
    <cellStyle name="Normal 5 2 4 2 2 2 5" xfId="10329" xr:uid="{02EFFBEE-CE86-4F7C-9E99-C4F2626AC87C}"/>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A9F554BF-CA03-4CA8-BCF8-3440FDFEE940}"/>
    <cellStyle name="Normal 5 2 4 2 2 3 2 3" xfId="12887" xr:uid="{E061BD56-A6D5-4F37-95FB-FA34C522B500}"/>
    <cellStyle name="Normal 5 2 4 2 2 3 3" xfId="5633" xr:uid="{00000000-0005-0000-0000-0000DC180000}"/>
    <cellStyle name="Normal 5 2 4 2 2 3 3 2" xfId="14959" xr:uid="{608699D0-1F1B-4738-92AA-2AE1DEB1F396}"/>
    <cellStyle name="Normal 5 2 4 2 2 3 4" xfId="10742" xr:uid="{3ECA80A9-991A-45A9-B6C7-30246AEE1D01}"/>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9347E38D-1F01-4EA8-8A71-F3657919F9E4}"/>
    <cellStyle name="Normal 5 2 4 2 2 4 2 3" xfId="13300" xr:uid="{0CF0DB31-2604-4C9F-ADFE-7837E7DEFA2E}"/>
    <cellStyle name="Normal 5 2 4 2 2 4 3" xfId="6046" xr:uid="{00000000-0005-0000-0000-0000E0180000}"/>
    <cellStyle name="Normal 5 2 4 2 2 4 3 2" xfId="15372" xr:uid="{714AEFB2-A2FE-4C5B-9C8E-260FC7DDDEFF}"/>
    <cellStyle name="Normal 5 2 4 2 2 4 4" xfId="11155" xr:uid="{FF59BB11-A9F8-4068-8C67-4844C0DE849B}"/>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77F8A563-9219-4AAD-BADF-233F0E0B0BF7}"/>
    <cellStyle name="Normal 5 2 4 2 2 5 2 3" xfId="13713" xr:uid="{62659B18-1E82-4D48-BB0F-1068E190B83D}"/>
    <cellStyle name="Normal 5 2 4 2 2 5 3" xfId="6459" xr:uid="{00000000-0005-0000-0000-0000E4180000}"/>
    <cellStyle name="Normal 5 2 4 2 2 5 3 2" xfId="15785" xr:uid="{FEECE226-2A78-4717-BA22-787E3ACB7740}"/>
    <cellStyle name="Normal 5 2 4 2 2 5 4" xfId="11568" xr:uid="{E601E492-D0D4-4B4E-9490-643D87B9A620}"/>
    <cellStyle name="Normal 5 2 4 2 2 6" xfId="2589" xr:uid="{00000000-0005-0000-0000-0000E5180000}"/>
    <cellStyle name="Normal 5 2 4 2 2 6 2" xfId="6872" xr:uid="{00000000-0005-0000-0000-0000E6180000}"/>
    <cellStyle name="Normal 5 2 4 2 2 6 2 2" xfId="16198" xr:uid="{A73F6156-DFCE-4C1B-A0BE-2B7D9D6EAD27}"/>
    <cellStyle name="Normal 5 2 4 2 2 6 3" xfId="11981" xr:uid="{836D093B-699E-4698-8821-2E1A4A2116EF}"/>
    <cellStyle name="Normal 5 2 4 2 2 7" xfId="4807" xr:uid="{00000000-0005-0000-0000-0000E7180000}"/>
    <cellStyle name="Normal 5 2 4 2 2 7 2" xfId="14133" xr:uid="{8A10F78B-375E-4785-8E83-DF780408C4A6}"/>
    <cellStyle name="Normal 5 2 4 2 2 8" xfId="9137" xr:uid="{C80E4B27-40CA-4953-ABB8-99E2C575F775}"/>
    <cellStyle name="Normal 5 2 4 2 2 8 2" xfId="18461" xr:uid="{AE41107E-0ACD-45BF-987A-1C2269DADB8A}"/>
    <cellStyle name="Normal 5 2 4 2 2 9" xfId="9916" xr:uid="{5D2CEDB7-B432-45CC-8707-3D2AF72799AA}"/>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52BC810C-FB5D-4AC5-838C-6934EACE6D9C}"/>
    <cellStyle name="Normal 5 2 4 2 3 2 3" xfId="12473" xr:uid="{7BEEAEB1-572F-495E-AA07-7610DE9C9498}"/>
    <cellStyle name="Normal 5 2 4 2 3 3" xfId="5219" xr:uid="{00000000-0005-0000-0000-0000EB180000}"/>
    <cellStyle name="Normal 5 2 4 2 3 3 2" xfId="14545" xr:uid="{868308E1-2C41-434D-B2B3-C5A6A76543AB}"/>
    <cellStyle name="Normal 5 2 4 2 3 4" xfId="9355" xr:uid="{9D38A6AA-2F63-4275-9FB8-F86A15F6A4D3}"/>
    <cellStyle name="Normal 5 2 4 2 3 4 2" xfId="18670" xr:uid="{1A23F0A5-BEF3-4F93-B1EE-E53AE933A438}"/>
    <cellStyle name="Normal 5 2 4 2 3 5" xfId="10328" xr:uid="{84094BEB-E358-416A-9B4C-D8420C53E141}"/>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9C67D515-7ABA-430E-98FB-FEBF4B795454}"/>
    <cellStyle name="Normal 5 2 4 2 4 2 3" xfId="12886" xr:uid="{C5B5F2C7-3024-4799-BC8F-0A1600756F05}"/>
    <cellStyle name="Normal 5 2 4 2 4 3" xfId="5632" xr:uid="{00000000-0005-0000-0000-0000EF180000}"/>
    <cellStyle name="Normal 5 2 4 2 4 3 2" xfId="14958" xr:uid="{D4B52607-28E6-4E6D-9A6D-CCD1A78A61C9}"/>
    <cellStyle name="Normal 5 2 4 2 4 4" xfId="10741" xr:uid="{AD5C7F44-178C-43F0-ACA4-534A230CA765}"/>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0333C504-87D3-4BBE-9C87-D98B2D46011F}"/>
    <cellStyle name="Normal 5 2 4 2 5 2 3" xfId="13299" xr:uid="{309E437F-D7F5-4822-8F56-05B047557E65}"/>
    <cellStyle name="Normal 5 2 4 2 5 3" xfId="6045" xr:uid="{00000000-0005-0000-0000-0000F3180000}"/>
    <cellStyle name="Normal 5 2 4 2 5 3 2" xfId="15371" xr:uid="{F5FA8EF0-2633-45CB-890F-CA07117CD21A}"/>
    <cellStyle name="Normal 5 2 4 2 5 4" xfId="11154" xr:uid="{230D07DF-6DCC-4DD7-98BC-03FD4AB06268}"/>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1D99A901-A6D5-4332-92C1-245DB9E501EA}"/>
    <cellStyle name="Normal 5 2 4 2 6 2 3" xfId="13712" xr:uid="{2F8A39F4-8094-4A97-8EF6-C6C3F396F705}"/>
    <cellStyle name="Normal 5 2 4 2 6 3" xfId="6458" xr:uid="{00000000-0005-0000-0000-0000F7180000}"/>
    <cellStyle name="Normal 5 2 4 2 6 3 2" xfId="15784" xr:uid="{109DC4D5-257F-4C46-BFD1-3269463AC424}"/>
    <cellStyle name="Normal 5 2 4 2 6 4" xfId="11567" xr:uid="{33C04F34-2575-4D2A-8D36-42EBA17B0E96}"/>
    <cellStyle name="Normal 5 2 4 2 7" xfId="2588" xr:uid="{00000000-0005-0000-0000-0000F8180000}"/>
    <cellStyle name="Normal 5 2 4 2 7 2" xfId="6871" xr:uid="{00000000-0005-0000-0000-0000F9180000}"/>
    <cellStyle name="Normal 5 2 4 2 7 2 2" xfId="16197" xr:uid="{6AD3E649-1A05-43D3-A8EF-F4D40E574C5A}"/>
    <cellStyle name="Normal 5 2 4 2 7 3" xfId="11980" xr:uid="{8652C8E6-30C0-4547-9E08-C8780F00B005}"/>
    <cellStyle name="Normal 5 2 4 2 8" xfId="4806" xr:uid="{00000000-0005-0000-0000-0000FA180000}"/>
    <cellStyle name="Normal 5 2 4 2 8 2" xfId="14132" xr:uid="{73696C2A-6959-4166-83D0-F0C3A91A2788}"/>
    <cellStyle name="Normal 5 2 4 2 9" xfId="8930" xr:uid="{66B84ABA-CAF3-4BBE-9026-E7A47CB6006F}"/>
    <cellStyle name="Normal 5 2 4 2 9 2" xfId="18254" xr:uid="{B6B0BF83-940F-40B3-A407-BAE25FE4EE42}"/>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7D621B0E-7C66-4133-AA98-FA12112644CE}"/>
    <cellStyle name="Normal 5 2 4 3 2 2 3" xfId="12475" xr:uid="{7DF113DE-C114-4EFA-83EC-9DCEBE171548}"/>
    <cellStyle name="Normal 5 2 4 3 2 3" xfId="5221" xr:uid="{00000000-0005-0000-0000-0000FF180000}"/>
    <cellStyle name="Normal 5 2 4 3 2 3 2" xfId="14547" xr:uid="{FFDB5DDF-172E-4C47-ABD9-04F9EF2A88F5}"/>
    <cellStyle name="Normal 5 2 4 3 2 4" xfId="9459" xr:uid="{ED2A936E-5624-4B26-A175-3FCE68E1BF5A}"/>
    <cellStyle name="Normal 5 2 4 3 2 4 2" xfId="18774" xr:uid="{8B229F7F-D84C-48BF-B014-98C68476E44C}"/>
    <cellStyle name="Normal 5 2 4 3 2 5" xfId="10330" xr:uid="{16247501-C502-4302-835E-C0F784966718}"/>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3B127BBF-68CB-4946-9BCA-97207251186A}"/>
    <cellStyle name="Normal 5 2 4 3 3 2 3" xfId="12888" xr:uid="{F846EAE3-EF20-4128-8E79-3645F0B71F4C}"/>
    <cellStyle name="Normal 5 2 4 3 3 3" xfId="5634" xr:uid="{00000000-0005-0000-0000-000003190000}"/>
    <cellStyle name="Normal 5 2 4 3 3 3 2" xfId="14960" xr:uid="{754365AD-8767-4B58-84E3-3406CA1F3995}"/>
    <cellStyle name="Normal 5 2 4 3 3 4" xfId="10743" xr:uid="{F897B184-9E53-47BF-8985-CB56D7B2BC8F}"/>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A597C8C4-BEDE-443A-AEC7-C82F91DD28D6}"/>
    <cellStyle name="Normal 5 2 4 3 4 2 3" xfId="13301" xr:uid="{08DDA611-9D26-4B2C-88D6-A9A2EFDCDF2B}"/>
    <cellStyle name="Normal 5 2 4 3 4 3" xfId="6047" xr:uid="{00000000-0005-0000-0000-000007190000}"/>
    <cellStyle name="Normal 5 2 4 3 4 3 2" xfId="15373" xr:uid="{24A29199-CC53-48AC-B82C-D44B10F5BE2E}"/>
    <cellStyle name="Normal 5 2 4 3 4 4" xfId="11156" xr:uid="{79116F4A-D3BC-4291-8F0F-4902D0CDDC6C}"/>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1A80D9DA-23D7-4FD1-B256-CBE4B58751A1}"/>
    <cellStyle name="Normal 5 2 4 3 5 2 3" xfId="13714" xr:uid="{BA0B14C8-4EF2-4905-BE77-23DBAB2FDE33}"/>
    <cellStyle name="Normal 5 2 4 3 5 3" xfId="6460" xr:uid="{00000000-0005-0000-0000-00000B190000}"/>
    <cellStyle name="Normal 5 2 4 3 5 3 2" xfId="15786" xr:uid="{A8EE8862-6747-4F09-A6BC-BF62C3318B54}"/>
    <cellStyle name="Normal 5 2 4 3 5 4" xfId="11569" xr:uid="{1026AABF-981B-4059-88DA-E0DD91978EF5}"/>
    <cellStyle name="Normal 5 2 4 3 6" xfId="2590" xr:uid="{00000000-0005-0000-0000-00000C190000}"/>
    <cellStyle name="Normal 5 2 4 3 6 2" xfId="6873" xr:uid="{00000000-0005-0000-0000-00000D190000}"/>
    <cellStyle name="Normal 5 2 4 3 6 2 2" xfId="16199" xr:uid="{F44A85D3-3DE8-499D-A77E-ABAFE337DF3D}"/>
    <cellStyle name="Normal 5 2 4 3 6 3" xfId="11982" xr:uid="{0B8E5CF5-78E6-4F27-A7B1-CD5050D8BD1A}"/>
    <cellStyle name="Normal 5 2 4 3 7" xfId="4808" xr:uid="{00000000-0005-0000-0000-00000E190000}"/>
    <cellStyle name="Normal 5 2 4 3 7 2" xfId="14134" xr:uid="{950110EB-CF11-472D-A4EF-6BC0F007458B}"/>
    <cellStyle name="Normal 5 2 4 3 8" xfId="9034" xr:uid="{82D3DE5B-E868-4CF9-BA07-6E197DA4FAA5}"/>
    <cellStyle name="Normal 5 2 4 3 8 2" xfId="18358" xr:uid="{55ACC15D-B41C-4065-A795-476C63EC107E}"/>
    <cellStyle name="Normal 5 2 4 3 9" xfId="9917" xr:uid="{0569272D-1F83-4A5D-B1F6-8F1CE4147528}"/>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B6B459A1-1637-45E7-B63C-0107D8F5CAF1}"/>
    <cellStyle name="Normal 5 2 4 4 2 3" xfId="12472" xr:uid="{3CD1553F-91B0-4304-9ABD-A438A353B622}"/>
    <cellStyle name="Normal 5 2 4 4 3" xfId="5218" xr:uid="{00000000-0005-0000-0000-000012190000}"/>
    <cellStyle name="Normal 5 2 4 4 3 2" xfId="14544" xr:uid="{B169C76E-3AF3-4111-A5AD-EAA117DDBD47}"/>
    <cellStyle name="Normal 5 2 4 4 4" xfId="9252" xr:uid="{1D1A8EC4-7286-46A1-B40C-E987F273E760}"/>
    <cellStyle name="Normal 5 2 4 4 4 2" xfId="18567" xr:uid="{91E7E9C7-BE4D-48AB-BDD7-6D30AC5B847E}"/>
    <cellStyle name="Normal 5 2 4 4 5" xfId="10327" xr:uid="{68AB5B2A-BFA1-4C51-98EC-EFDFF3771CB2}"/>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21374217-1D69-433A-A516-6EAA160587FF}"/>
    <cellStyle name="Normal 5 2 4 5 2 3" xfId="12885" xr:uid="{3AF3E539-EF93-4F46-AAE9-1813A24413AE}"/>
    <cellStyle name="Normal 5 2 4 5 3" xfId="5631" xr:uid="{00000000-0005-0000-0000-000016190000}"/>
    <cellStyle name="Normal 5 2 4 5 3 2" xfId="14957" xr:uid="{AB63BC72-72C8-47A1-BDC4-FEC111D13738}"/>
    <cellStyle name="Normal 5 2 4 5 4" xfId="10740" xr:uid="{0B268DCC-FFD0-4FC2-9210-A5ADB85AE33C}"/>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39A0E015-12E7-4E25-8EA1-DA6F3A753B2A}"/>
    <cellStyle name="Normal 5 2 4 6 2 3" xfId="13298" xr:uid="{6E332554-249A-4EE8-A96D-29FB622ED967}"/>
    <cellStyle name="Normal 5 2 4 6 3" xfId="6044" xr:uid="{00000000-0005-0000-0000-00001A190000}"/>
    <cellStyle name="Normal 5 2 4 6 3 2" xfId="15370" xr:uid="{CF6B6FF2-353B-410C-AA1C-CDFDFE2A8D09}"/>
    <cellStyle name="Normal 5 2 4 6 4" xfId="11153" xr:uid="{53914BBF-75CF-49C6-AF70-9E05A6701D4B}"/>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D797C13D-8A7A-4F20-8218-6A5A5B4EBB27}"/>
    <cellStyle name="Normal 5 2 4 7 2 3" xfId="13711" xr:uid="{CD60D6F3-91DB-4638-B58B-BD885795CB72}"/>
    <cellStyle name="Normal 5 2 4 7 3" xfId="6457" xr:uid="{00000000-0005-0000-0000-00001E190000}"/>
    <cellStyle name="Normal 5 2 4 7 3 2" xfId="15783" xr:uid="{C57DA611-02F9-45A4-8E7C-4D426A98C096}"/>
    <cellStyle name="Normal 5 2 4 7 4" xfId="11566" xr:uid="{6B0EA9AE-D78A-444B-9AEA-5CEFD58691F9}"/>
    <cellStyle name="Normal 5 2 4 8" xfId="2587" xr:uid="{00000000-0005-0000-0000-00001F190000}"/>
    <cellStyle name="Normal 5 2 4 8 2" xfId="6870" xr:uid="{00000000-0005-0000-0000-000020190000}"/>
    <cellStyle name="Normal 5 2 4 8 2 2" xfId="16196" xr:uid="{0AA59D3A-28D9-4C3E-8FDE-A529D380E13C}"/>
    <cellStyle name="Normal 5 2 4 8 3" xfId="11979" xr:uid="{0E66F057-F11D-452B-BBB5-E8D4FF7D15F2}"/>
    <cellStyle name="Normal 5 2 4 9" xfId="4805" xr:uid="{00000000-0005-0000-0000-000021190000}"/>
    <cellStyle name="Normal 5 2 4 9 2" xfId="14131" xr:uid="{DA385E8F-DF79-4B96-8F4C-38133626A582}"/>
    <cellStyle name="Normal 5 2 5" xfId="436" xr:uid="{00000000-0005-0000-0000-000022190000}"/>
    <cellStyle name="Normal 5 2 5 10" xfId="9918" xr:uid="{9DB9D760-5F59-4048-8ED5-D5AAC906A97E}"/>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29BC9DBA-0D3E-45C7-96CA-DB1C241DD05F}"/>
    <cellStyle name="Normal 5 2 5 2 2 2 3" xfId="12477" xr:uid="{887DAF88-8A0F-4DFF-8BFF-88E588AF55A3}"/>
    <cellStyle name="Normal 5 2 5 2 2 3" xfId="5223" xr:uid="{00000000-0005-0000-0000-000027190000}"/>
    <cellStyle name="Normal 5 2 5 2 2 3 2" xfId="14549" xr:uid="{B4A5DA1A-CCBE-456F-9340-4C205A7E9031}"/>
    <cellStyle name="Normal 5 2 5 2 2 4" xfId="9479" xr:uid="{0DDFFFD4-5D62-4038-B6D4-9E9BD7CBA380}"/>
    <cellStyle name="Normal 5 2 5 2 2 4 2" xfId="18794" xr:uid="{274F1496-6317-4F32-8945-5F1C18620873}"/>
    <cellStyle name="Normal 5 2 5 2 2 5" xfId="10332" xr:uid="{81C86A4F-B0F2-44B4-8A62-0FA0E4E5A028}"/>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E66C744C-A9F8-4C22-B490-FADE5CFDDD3F}"/>
    <cellStyle name="Normal 5 2 5 2 3 2 3" xfId="12890" xr:uid="{6BB8B79A-C33C-4B51-8E18-4658B2BDF39E}"/>
    <cellStyle name="Normal 5 2 5 2 3 3" xfId="5636" xr:uid="{00000000-0005-0000-0000-00002B190000}"/>
    <cellStyle name="Normal 5 2 5 2 3 3 2" xfId="14962" xr:uid="{85E72C6D-7DF2-4AE9-9CC2-026350663588}"/>
    <cellStyle name="Normal 5 2 5 2 3 4" xfId="10745" xr:uid="{2125BCE9-FC57-4B7C-ADD1-29B8C37D552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797CB0B2-9A7B-4C1A-959F-45B3617EA356}"/>
    <cellStyle name="Normal 5 2 5 2 4 2 3" xfId="13303" xr:uid="{D6FE074D-BF42-481C-8281-C019CD1D2413}"/>
    <cellStyle name="Normal 5 2 5 2 4 3" xfId="6049" xr:uid="{00000000-0005-0000-0000-00002F190000}"/>
    <cellStyle name="Normal 5 2 5 2 4 3 2" xfId="15375" xr:uid="{2E8E72C2-F614-4183-92DE-3CC9F06C3FE0}"/>
    <cellStyle name="Normal 5 2 5 2 4 4" xfId="11158" xr:uid="{4BB73400-10C5-4C05-9DAE-95FD3A95B4DE}"/>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2FF29118-257E-475E-820A-3A7385E9FD86}"/>
    <cellStyle name="Normal 5 2 5 2 5 2 3" xfId="13716" xr:uid="{3D9F359D-593D-42DC-9273-139CFE5E9954}"/>
    <cellStyle name="Normal 5 2 5 2 5 3" xfId="6462" xr:uid="{00000000-0005-0000-0000-000033190000}"/>
    <cellStyle name="Normal 5 2 5 2 5 3 2" xfId="15788" xr:uid="{CF2D6DA8-59B8-4380-A47D-E3A042B64A62}"/>
    <cellStyle name="Normal 5 2 5 2 5 4" xfId="11571" xr:uid="{B3C5EA3F-AEB2-4B4D-B7AA-49D6BD9D515E}"/>
    <cellStyle name="Normal 5 2 5 2 6" xfId="2592" xr:uid="{00000000-0005-0000-0000-000034190000}"/>
    <cellStyle name="Normal 5 2 5 2 6 2" xfId="6875" xr:uid="{00000000-0005-0000-0000-000035190000}"/>
    <cellStyle name="Normal 5 2 5 2 6 2 2" xfId="16201" xr:uid="{2D6DDD4A-F2E5-4971-BF42-4671B3F61E16}"/>
    <cellStyle name="Normal 5 2 5 2 6 3" xfId="11984" xr:uid="{23D021BF-CEF1-45C2-8B39-E004BA37A00E}"/>
    <cellStyle name="Normal 5 2 5 2 7" xfId="4810" xr:uid="{00000000-0005-0000-0000-000036190000}"/>
    <cellStyle name="Normal 5 2 5 2 7 2" xfId="14136" xr:uid="{6A64E8B9-6D0B-4E96-878C-33DF8C12A633}"/>
    <cellStyle name="Normal 5 2 5 2 8" xfId="9054" xr:uid="{844F6476-DDB9-4C38-A2B2-83AB0DCF1773}"/>
    <cellStyle name="Normal 5 2 5 2 8 2" xfId="18378" xr:uid="{F74FB512-239C-44A1-9B8A-D097965268CD}"/>
    <cellStyle name="Normal 5 2 5 2 9" xfId="9919" xr:uid="{4F2BA9E5-54E9-4467-98AF-DED54AC0003F}"/>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24B00964-210A-42B3-BA12-6858FF56D2AD}"/>
    <cellStyle name="Normal 5 2 5 3 2 3" xfId="12476" xr:uid="{F0DFE847-EA4B-4991-8844-3BA8E84B1BF6}"/>
    <cellStyle name="Normal 5 2 5 3 3" xfId="5222" xr:uid="{00000000-0005-0000-0000-00003A190000}"/>
    <cellStyle name="Normal 5 2 5 3 3 2" xfId="14548" xr:uid="{82C8C956-370D-4C95-802C-88CAD1B6FC81}"/>
    <cellStyle name="Normal 5 2 5 3 4" xfId="9272" xr:uid="{8865498C-CC61-4C5F-A1F4-57A1D301E1CE}"/>
    <cellStyle name="Normal 5 2 5 3 4 2" xfId="18587" xr:uid="{796C909B-D471-4DDC-9E11-05584E70F4C1}"/>
    <cellStyle name="Normal 5 2 5 3 5" xfId="10331" xr:uid="{394BEE90-3974-4FC0-8002-E59CB7181335}"/>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6F696446-F4F0-42F8-8E7B-A653306E46AD}"/>
    <cellStyle name="Normal 5 2 5 4 2 3" xfId="12889" xr:uid="{AA4ED6A8-B596-4964-94A2-1D26DB5EAE2C}"/>
    <cellStyle name="Normal 5 2 5 4 3" xfId="5635" xr:uid="{00000000-0005-0000-0000-00003E190000}"/>
    <cellStyle name="Normal 5 2 5 4 3 2" xfId="14961" xr:uid="{22A1E1F0-3AA6-4D5E-8BA8-414D9FF77A68}"/>
    <cellStyle name="Normal 5 2 5 4 4" xfId="10744" xr:uid="{D615F349-6406-40DF-8CBF-DF731FC771FD}"/>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8CAA93B0-4A89-4080-9557-0FA82186B906}"/>
    <cellStyle name="Normal 5 2 5 5 2 3" xfId="13302" xr:uid="{5B23F96F-947E-4C5E-9BE1-0EFF415EE7F6}"/>
    <cellStyle name="Normal 5 2 5 5 3" xfId="6048" xr:uid="{00000000-0005-0000-0000-000042190000}"/>
    <cellStyle name="Normal 5 2 5 5 3 2" xfId="15374" xr:uid="{4D7E5EF8-6D57-4F4A-9762-50D4E27B7DA9}"/>
    <cellStyle name="Normal 5 2 5 5 4" xfId="11157" xr:uid="{13ABA97D-C9E7-4756-BE69-6E88ED58A56C}"/>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D6CF98FE-D857-4FC1-A252-85C34CDE3C42}"/>
    <cellStyle name="Normal 5 2 5 6 2 3" xfId="13715" xr:uid="{8C28EF31-2888-41A6-A5CE-9664D72AAC37}"/>
    <cellStyle name="Normal 5 2 5 6 3" xfId="6461" xr:uid="{00000000-0005-0000-0000-000046190000}"/>
    <cellStyle name="Normal 5 2 5 6 3 2" xfId="15787" xr:uid="{25291063-AB31-493C-8B30-15B002FE3317}"/>
    <cellStyle name="Normal 5 2 5 6 4" xfId="11570" xr:uid="{C564E0EE-F1AB-4A31-80C4-F31350B25BFE}"/>
    <cellStyle name="Normal 5 2 5 7" xfId="2591" xr:uid="{00000000-0005-0000-0000-000047190000}"/>
    <cellStyle name="Normal 5 2 5 7 2" xfId="6874" xr:uid="{00000000-0005-0000-0000-000048190000}"/>
    <cellStyle name="Normal 5 2 5 7 2 2" xfId="16200" xr:uid="{DBA631D8-89BC-4BF1-85AE-AB760E55A55F}"/>
    <cellStyle name="Normal 5 2 5 7 3" xfId="11983" xr:uid="{8350D404-2088-4F03-BB34-77E0A51A0825}"/>
    <cellStyle name="Normal 5 2 5 8" xfId="4809" xr:uid="{00000000-0005-0000-0000-000049190000}"/>
    <cellStyle name="Normal 5 2 5 8 2" xfId="14135" xr:uid="{B8AF9DB5-0E94-4066-B346-C22E5A776FCB}"/>
    <cellStyle name="Normal 5 2 5 9" xfId="8847" xr:uid="{504334B5-BB84-4906-81A5-68746D711AC3}"/>
    <cellStyle name="Normal 5 2 5 9 2" xfId="18171" xr:uid="{0D22E944-1A88-41A5-B7CC-364490C7A49D}"/>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85632E09-BD71-4506-9AD8-B7FF25F37486}"/>
    <cellStyle name="Normal 5 2 6 2 2 3" xfId="12478" xr:uid="{D79A3CE0-9B5F-494D-BD23-EE8CB8C7A1CA}"/>
    <cellStyle name="Normal 5 2 6 2 3" xfId="5224" xr:uid="{00000000-0005-0000-0000-00004E190000}"/>
    <cellStyle name="Normal 5 2 6 2 3 2" xfId="14550" xr:uid="{18FA60D7-590E-42F7-859E-AE7F67006A3F}"/>
    <cellStyle name="Normal 5 2 6 2 4" xfId="9388" xr:uid="{38BE55A5-085B-499D-8766-DF826B77D03C}"/>
    <cellStyle name="Normal 5 2 6 2 4 2" xfId="18703" xr:uid="{6DAA8105-0C6D-45F2-9D0D-A4409725721C}"/>
    <cellStyle name="Normal 5 2 6 2 5" xfId="10333" xr:uid="{47973362-3CA7-4A98-801B-4FAE3A73F2A5}"/>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AC1BBE08-D206-40C8-8777-EED83F9AE5D9}"/>
    <cellStyle name="Normal 5 2 6 3 2 3" xfId="12891" xr:uid="{14DF6B2E-E4DC-44C2-87E2-54E63F73F3C4}"/>
    <cellStyle name="Normal 5 2 6 3 3" xfId="5637" xr:uid="{00000000-0005-0000-0000-000052190000}"/>
    <cellStyle name="Normal 5 2 6 3 3 2" xfId="14963" xr:uid="{CA4F8555-E349-4D41-AB9D-89F639AB1AC0}"/>
    <cellStyle name="Normal 5 2 6 3 4" xfId="10746" xr:uid="{F10AB294-CBE6-4233-9983-17EFD28019DF}"/>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BDEFBE32-9E12-4D13-B78C-A1155BE233B5}"/>
    <cellStyle name="Normal 5 2 6 4 2 3" xfId="13304" xr:uid="{26F0E8CB-7977-4C0F-8114-E55BA9417DAB}"/>
    <cellStyle name="Normal 5 2 6 4 3" xfId="6050" xr:uid="{00000000-0005-0000-0000-000056190000}"/>
    <cellStyle name="Normal 5 2 6 4 3 2" xfId="15376" xr:uid="{6E4E1611-4F66-4550-AA75-2F46C36D2FB4}"/>
    <cellStyle name="Normal 5 2 6 4 4" xfId="11159" xr:uid="{E53F2D68-C292-4FBF-AEE3-4C4A7C7E102B}"/>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E0329A34-F55A-4DFE-AF47-F57CC14C4D11}"/>
    <cellStyle name="Normal 5 2 6 5 2 3" xfId="13717" xr:uid="{30349755-08EE-484D-B337-D0D0C206756E}"/>
    <cellStyle name="Normal 5 2 6 5 3" xfId="6463" xr:uid="{00000000-0005-0000-0000-00005A190000}"/>
    <cellStyle name="Normal 5 2 6 5 3 2" xfId="15789" xr:uid="{257E9053-FC6D-4DAE-B32F-5F95167CDBCF}"/>
    <cellStyle name="Normal 5 2 6 5 4" xfId="11572" xr:uid="{B870C269-D7CC-4357-997D-E924F91CCF13}"/>
    <cellStyle name="Normal 5 2 6 6" xfId="2593" xr:uid="{00000000-0005-0000-0000-00005B190000}"/>
    <cellStyle name="Normal 5 2 6 6 2" xfId="6876" xr:uid="{00000000-0005-0000-0000-00005C190000}"/>
    <cellStyle name="Normal 5 2 6 6 2 2" xfId="16202" xr:uid="{BB636CDD-B2E8-4491-8240-8251A415B3AE}"/>
    <cellStyle name="Normal 5 2 6 6 3" xfId="11985" xr:uid="{F0720DE1-D949-4AC0-8103-FB770237714F}"/>
    <cellStyle name="Normal 5 2 6 7" xfId="4811" xr:uid="{00000000-0005-0000-0000-00005D190000}"/>
    <cellStyle name="Normal 5 2 6 7 2" xfId="14137" xr:uid="{E2EE89BA-FD6C-472E-9CB9-6B581DB45996}"/>
    <cellStyle name="Normal 5 2 6 8" xfId="8963" xr:uid="{01BDB756-0B70-4C0D-AC32-9959EE0C8F11}"/>
    <cellStyle name="Normal 5 2 6 8 2" xfId="18287" xr:uid="{928AD6A3-117C-453D-BF5F-49BF00C297AB}"/>
    <cellStyle name="Normal 5 2 6 9" xfId="9920" xr:uid="{F0669198-476E-4733-B90A-B3A7E1A58265}"/>
    <cellStyle name="Normal 5 2 7" xfId="881" xr:uid="{00000000-0005-0000-0000-00005E190000}"/>
    <cellStyle name="Normal 5 2 7 2" xfId="3116" xr:uid="{00000000-0005-0000-0000-00005F190000}"/>
    <cellStyle name="Normal 5 2 7 2 2" xfId="7338" xr:uid="{00000000-0005-0000-0000-000060190000}"/>
    <cellStyle name="Normal 5 2 7 2 2 2" xfId="16664" xr:uid="{219D7AEE-F1B3-4E8A-B12D-941D23ADAA88}"/>
    <cellStyle name="Normal 5 2 7 2 3" xfId="12447" xr:uid="{E36F7292-E6DE-4940-BD97-9E81F5FFD3D5}"/>
    <cellStyle name="Normal 5 2 7 3" xfId="5193" xr:uid="{00000000-0005-0000-0000-000061190000}"/>
    <cellStyle name="Normal 5 2 7 3 2" xfId="14519" xr:uid="{CD52C02F-5ED1-4A6E-AC77-C712068F4750}"/>
    <cellStyle name="Normal 5 2 7 4" xfId="9166" xr:uid="{903BB692-5043-4803-B109-F7C532EB2A09}"/>
    <cellStyle name="Normal 5 2 7 4 2" xfId="18484" xr:uid="{C61C14B2-5C55-4A20-80EA-738EC96A0B4F}"/>
    <cellStyle name="Normal 5 2 7 5" xfId="10302" xr:uid="{E652EACD-915C-4384-BE84-A1EC9A7FC0C2}"/>
    <cellStyle name="Normal 5 2 8" xfId="1299" xr:uid="{00000000-0005-0000-0000-000062190000}"/>
    <cellStyle name="Normal 5 2 8 2" xfId="3529" xr:uid="{00000000-0005-0000-0000-000063190000}"/>
    <cellStyle name="Normal 5 2 8 2 2" xfId="7751" xr:uid="{00000000-0005-0000-0000-000064190000}"/>
    <cellStyle name="Normal 5 2 8 2 2 2" xfId="17077" xr:uid="{2B991029-A6E2-4AE0-AA25-896B792419CC}"/>
    <cellStyle name="Normal 5 2 8 2 3" xfId="12860" xr:uid="{374EA60E-5887-4282-A8A3-DCE27B9F7825}"/>
    <cellStyle name="Normal 5 2 8 3" xfId="5606" xr:uid="{00000000-0005-0000-0000-000065190000}"/>
    <cellStyle name="Normal 5 2 8 3 2" xfId="14932" xr:uid="{7AAA93B6-C4E9-4AA0-AA41-B4252249D9C6}"/>
    <cellStyle name="Normal 5 2 8 4" xfId="10715" xr:uid="{CD0BFA58-E7E3-4EC6-A8A3-2D2805CF6690}"/>
    <cellStyle name="Normal 5 2 9" xfId="1712" xr:uid="{00000000-0005-0000-0000-000066190000}"/>
    <cellStyle name="Normal 5 2 9 2" xfId="3942" xr:uid="{00000000-0005-0000-0000-000067190000}"/>
    <cellStyle name="Normal 5 2 9 2 2" xfId="8164" xr:uid="{00000000-0005-0000-0000-000068190000}"/>
    <cellStyle name="Normal 5 2 9 2 2 2" xfId="17490" xr:uid="{B0C22C0A-E136-4FF8-9B3D-4154BBBC7C74}"/>
    <cellStyle name="Normal 5 2 9 2 3" xfId="13273" xr:uid="{F7EB1344-6EE3-4D0B-9495-099771EF2D0F}"/>
    <cellStyle name="Normal 5 2 9 3" xfId="6019" xr:uid="{00000000-0005-0000-0000-000069190000}"/>
    <cellStyle name="Normal 5 2 9 3 2" xfId="15345" xr:uid="{08BFE5D2-9646-4290-BA90-1175D870FB79}"/>
    <cellStyle name="Normal 5 2 9 4" xfId="11128" xr:uid="{2EC71829-E53D-4C7C-A895-637C6DD9E07E}"/>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AA12D4BA-D820-4FA1-A324-4C3EB353A756}"/>
    <cellStyle name="Normal 5 3 10 2 3" xfId="13718" xr:uid="{106ABF08-D81B-4FD6-9EAB-8E25D1569DE1}"/>
    <cellStyle name="Normal 5 3 10 3" xfId="6464" xr:uid="{00000000-0005-0000-0000-00006E190000}"/>
    <cellStyle name="Normal 5 3 10 3 2" xfId="15790" xr:uid="{43B9FC9B-2874-42CE-ABE3-810162D41883}"/>
    <cellStyle name="Normal 5 3 10 4" xfId="11573" xr:uid="{E4160E38-17B8-4F90-B4D1-940F06336068}"/>
    <cellStyle name="Normal 5 3 11" xfId="2594" xr:uid="{00000000-0005-0000-0000-00006F190000}"/>
    <cellStyle name="Normal 5 3 11 2" xfId="6877" xr:uid="{00000000-0005-0000-0000-000070190000}"/>
    <cellStyle name="Normal 5 3 11 2 2" xfId="16203" xr:uid="{074A4FFD-2874-4831-B760-2B840FC58708}"/>
    <cellStyle name="Normal 5 3 11 3" xfId="11986" xr:uid="{41185CE1-7EB9-439B-9A6C-AEA88D9CA978}"/>
    <cellStyle name="Normal 5 3 12" xfId="4812" xr:uid="{00000000-0005-0000-0000-000071190000}"/>
    <cellStyle name="Normal 5 3 12 2" xfId="14138" xr:uid="{92CA8E8A-C172-499A-9F88-5CC120391784}"/>
    <cellStyle name="Normal 5 3 13" xfId="8750" xr:uid="{36957AEF-D081-4A23-AEE3-073A5901863C}"/>
    <cellStyle name="Normal 5 3 13 2" xfId="18074" xr:uid="{B3692265-911D-40AD-8831-6718BF01108C}"/>
    <cellStyle name="Normal 5 3 14" xfId="9921" xr:uid="{48AD3932-59C5-4509-BFFE-72F36F1F4677}"/>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BD57BE48-EC3F-4387-9F30-5FB0EEFD365B}"/>
    <cellStyle name="Normal 5 3 3 11" xfId="8782" xr:uid="{4219AD28-469A-4693-BD0B-B0536AC433E5}"/>
    <cellStyle name="Normal 5 3 3 11 2" xfId="18106" xr:uid="{BFA86402-370F-4661-A4F0-97A862083D06}"/>
    <cellStyle name="Normal 5 3 3 12" xfId="9922" xr:uid="{1C606518-60C0-4818-AE24-2A1689EA8554}"/>
    <cellStyle name="Normal 5 3 3 2" xfId="442" xr:uid="{00000000-0005-0000-0000-000076190000}"/>
    <cellStyle name="Normal 5 3 3 2 10" xfId="8832" xr:uid="{03323DDB-E4E1-4078-8BBE-EA3DD4471E1B}"/>
    <cellStyle name="Normal 5 3 3 2 10 2" xfId="18156" xr:uid="{3717B144-A419-4CD0-A943-7336CF03D4AC}"/>
    <cellStyle name="Normal 5 3 3 2 11" xfId="9923" xr:uid="{4AFCB34E-124B-4942-9165-14143FCAECE0}"/>
    <cellStyle name="Normal 5 3 3 2 2" xfId="443" xr:uid="{00000000-0005-0000-0000-000077190000}"/>
    <cellStyle name="Normal 5 3 3 2 2 10" xfId="9924" xr:uid="{32656BF2-0F54-4F2D-B381-CA7E70EA110D}"/>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CD7794AC-C103-4967-AF77-B5424B6BA7C1}"/>
    <cellStyle name="Normal 5 3 3 2 2 2 2 2 3" xfId="12483" xr:uid="{D55ADC59-319C-43E8-A0B3-F814FB103C41}"/>
    <cellStyle name="Normal 5 3 3 2 2 2 2 3" xfId="5229" xr:uid="{00000000-0005-0000-0000-00007C190000}"/>
    <cellStyle name="Normal 5 3 3 2 2 2 2 3 2" xfId="14555" xr:uid="{F9FD0EFC-1335-4676-80A6-2B31D681501A}"/>
    <cellStyle name="Normal 5 3 3 2 2 2 2 4" xfId="9567" xr:uid="{C2519486-6BC5-47D1-879F-EC6040BC9E9D}"/>
    <cellStyle name="Normal 5 3 3 2 2 2 2 4 2" xfId="18882" xr:uid="{2862094E-7E9E-456B-9D6F-A170F77BB51D}"/>
    <cellStyle name="Normal 5 3 3 2 2 2 2 5" xfId="10338" xr:uid="{979BEA98-5EF0-424E-956F-82302AE958BB}"/>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84D12CE6-F127-4A3B-ACC9-1F89D49CA4F1}"/>
    <cellStyle name="Normal 5 3 3 2 2 2 3 2 3" xfId="12896" xr:uid="{9DEEDF73-89A6-4653-9038-AFC22C11E986}"/>
    <cellStyle name="Normal 5 3 3 2 2 2 3 3" xfId="5642" xr:uid="{00000000-0005-0000-0000-000080190000}"/>
    <cellStyle name="Normal 5 3 3 2 2 2 3 3 2" xfId="14968" xr:uid="{A9B3F2F5-35C9-47E0-A573-E273F18FD32F}"/>
    <cellStyle name="Normal 5 3 3 2 2 2 3 4" xfId="10751" xr:uid="{F709844D-4504-4FB9-9823-230D178B0BD7}"/>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2EDDBB82-B68F-4F82-BDF5-352AD4337236}"/>
    <cellStyle name="Normal 5 3 3 2 2 2 4 2 3" xfId="13309" xr:uid="{ED515C3D-C573-45B7-9913-1B8F52300A4E}"/>
    <cellStyle name="Normal 5 3 3 2 2 2 4 3" xfId="6055" xr:uid="{00000000-0005-0000-0000-000084190000}"/>
    <cellStyle name="Normal 5 3 3 2 2 2 4 3 2" xfId="15381" xr:uid="{BA9FD83F-1CE7-4362-B950-26093185D1BA}"/>
    <cellStyle name="Normal 5 3 3 2 2 2 4 4" xfId="11164" xr:uid="{127B5099-0A89-43CF-92F0-CCB845E30E73}"/>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1F9635B3-493B-48F3-B36D-97D71F934606}"/>
    <cellStyle name="Normal 5 3 3 2 2 2 5 2 3" xfId="13722" xr:uid="{F50202BD-F063-4E4D-A9F3-5CBA8B838E08}"/>
    <cellStyle name="Normal 5 3 3 2 2 2 5 3" xfId="6468" xr:uid="{00000000-0005-0000-0000-000088190000}"/>
    <cellStyle name="Normal 5 3 3 2 2 2 5 3 2" xfId="15794" xr:uid="{3A679DB1-3F3C-4D1F-87C7-5DAD8CD0CBC7}"/>
    <cellStyle name="Normal 5 3 3 2 2 2 5 4" xfId="11577" xr:uid="{9399DAF6-AE0F-4ECA-A626-BBAB794C9A56}"/>
    <cellStyle name="Normal 5 3 3 2 2 2 6" xfId="2598" xr:uid="{00000000-0005-0000-0000-000089190000}"/>
    <cellStyle name="Normal 5 3 3 2 2 2 6 2" xfId="6881" xr:uid="{00000000-0005-0000-0000-00008A190000}"/>
    <cellStyle name="Normal 5 3 3 2 2 2 6 2 2" xfId="16207" xr:uid="{4BFEEDB7-4FEA-440E-977B-075666318FC2}"/>
    <cellStyle name="Normal 5 3 3 2 2 2 6 3" xfId="11990" xr:uid="{3B7F0C91-B2C2-4656-B7DD-79B6838E8170}"/>
    <cellStyle name="Normal 5 3 3 2 2 2 7" xfId="4816" xr:uid="{00000000-0005-0000-0000-00008B190000}"/>
    <cellStyle name="Normal 5 3 3 2 2 2 7 2" xfId="14142" xr:uid="{4EE64F2F-7710-4D66-A53E-C968EF4B5B5F}"/>
    <cellStyle name="Normal 5 3 3 2 2 2 8" xfId="9142" xr:uid="{81CF9711-3A0B-4712-8E8F-033C974AA9E3}"/>
    <cellStyle name="Normal 5 3 3 2 2 2 8 2" xfId="18466" xr:uid="{AEDDF778-46A8-4D0E-8A23-0150A3B5700E}"/>
    <cellStyle name="Normal 5 3 3 2 2 2 9" xfId="9925" xr:uid="{4514223A-8B46-433A-AC29-2EFECC28744B}"/>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46B430CB-C876-4BDE-A4C8-BA27B4160D3B}"/>
    <cellStyle name="Normal 5 3 3 2 2 3 2 3" xfId="12482" xr:uid="{7CC5E258-18EC-4906-8C7E-E18404910E13}"/>
    <cellStyle name="Normal 5 3 3 2 2 3 3" xfId="5228" xr:uid="{00000000-0005-0000-0000-00008F190000}"/>
    <cellStyle name="Normal 5 3 3 2 2 3 3 2" xfId="14554" xr:uid="{9FB834E8-643B-43E5-86C6-EB8B76F69650}"/>
    <cellStyle name="Normal 5 3 3 2 2 3 4" xfId="9360" xr:uid="{07447062-3C9B-4A41-BE9D-50DE495FF588}"/>
    <cellStyle name="Normal 5 3 3 2 2 3 4 2" xfId="18675" xr:uid="{E2C553CE-3136-4D59-AEA8-44C326804E61}"/>
    <cellStyle name="Normal 5 3 3 2 2 3 5" xfId="10337" xr:uid="{D0E46082-BA1E-4BF2-B0EF-669D47869B1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9EB9693A-34C6-44F3-BA44-15064323907C}"/>
    <cellStyle name="Normal 5 3 3 2 2 4 2 3" xfId="12895" xr:uid="{B9B5C94A-DC4F-4CA1-B0FF-11B7B3C40883}"/>
    <cellStyle name="Normal 5 3 3 2 2 4 3" xfId="5641" xr:uid="{00000000-0005-0000-0000-000093190000}"/>
    <cellStyle name="Normal 5 3 3 2 2 4 3 2" xfId="14967" xr:uid="{BBB95E6D-23F8-4E65-ADCD-97A6C792F5A6}"/>
    <cellStyle name="Normal 5 3 3 2 2 4 4" xfId="10750" xr:uid="{37B3A0E7-3C3F-40AB-A8D2-40400448AED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0945697B-7E76-487C-B799-7412689B0E9D}"/>
    <cellStyle name="Normal 5 3 3 2 2 5 2 3" xfId="13308" xr:uid="{78254DAE-85E7-4649-BCC3-41404047ED78}"/>
    <cellStyle name="Normal 5 3 3 2 2 5 3" xfId="6054" xr:uid="{00000000-0005-0000-0000-000097190000}"/>
    <cellStyle name="Normal 5 3 3 2 2 5 3 2" xfId="15380" xr:uid="{D21340C5-AB5B-4E57-81CB-748506BC9ED3}"/>
    <cellStyle name="Normal 5 3 3 2 2 5 4" xfId="11163" xr:uid="{51599514-2752-4673-80CD-4C416A0892B1}"/>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EA0AE6A7-A8A6-491B-95BD-072F3FDAA9E5}"/>
    <cellStyle name="Normal 5 3 3 2 2 6 2 3" xfId="13721" xr:uid="{95A61FEB-E3CB-4EC8-A64F-F4FF09726FF1}"/>
    <cellStyle name="Normal 5 3 3 2 2 6 3" xfId="6467" xr:uid="{00000000-0005-0000-0000-00009B190000}"/>
    <cellStyle name="Normal 5 3 3 2 2 6 3 2" xfId="15793" xr:uid="{50850A21-F137-4509-85FB-C11285B52AAC}"/>
    <cellStyle name="Normal 5 3 3 2 2 6 4" xfId="11576" xr:uid="{ABA8C53A-D8B4-4DC6-982C-0EE5864FF71C}"/>
    <cellStyle name="Normal 5 3 3 2 2 7" xfId="2597" xr:uid="{00000000-0005-0000-0000-00009C190000}"/>
    <cellStyle name="Normal 5 3 3 2 2 7 2" xfId="6880" xr:uid="{00000000-0005-0000-0000-00009D190000}"/>
    <cellStyle name="Normal 5 3 3 2 2 7 2 2" xfId="16206" xr:uid="{5DFB2690-176B-4DDF-ACC1-30DFF1DC0D11}"/>
    <cellStyle name="Normal 5 3 3 2 2 7 3" xfId="11989" xr:uid="{1C496B38-7829-4242-B484-0F079DD63E20}"/>
    <cellStyle name="Normal 5 3 3 2 2 8" xfId="4815" xr:uid="{00000000-0005-0000-0000-00009E190000}"/>
    <cellStyle name="Normal 5 3 3 2 2 8 2" xfId="14141" xr:uid="{974C76A1-89B5-4469-AC88-92A28EE753DF}"/>
    <cellStyle name="Normal 5 3 3 2 2 9" xfId="8935" xr:uid="{94B8766B-0DD5-4CC7-9403-D37FC711344B}"/>
    <cellStyle name="Normal 5 3 3 2 2 9 2" xfId="18259" xr:uid="{D94ED726-E99D-4274-B524-81E3F1FCC52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B9108347-D3EC-44F0-9E55-182829269399}"/>
    <cellStyle name="Normal 5 3 3 2 3 2 2 3" xfId="12484" xr:uid="{4734244E-773E-4904-9D73-186A48CBC212}"/>
    <cellStyle name="Normal 5 3 3 2 3 2 3" xfId="5230" xr:uid="{00000000-0005-0000-0000-0000A3190000}"/>
    <cellStyle name="Normal 5 3 3 2 3 2 3 2" xfId="14556" xr:uid="{3DDA5A27-580E-4692-999B-D2DE23E5E19C}"/>
    <cellStyle name="Normal 5 3 3 2 3 2 4" xfId="9464" xr:uid="{6A182EEF-0879-47AD-839A-17D560B4AF3D}"/>
    <cellStyle name="Normal 5 3 3 2 3 2 4 2" xfId="18779" xr:uid="{0E56687A-DCE4-4E86-9F52-71D0B5C85BED}"/>
    <cellStyle name="Normal 5 3 3 2 3 2 5" xfId="10339" xr:uid="{F4E40633-99A7-4821-8488-3B88089AF45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56D1F8FB-B03E-4CAD-8C1F-5CF40C1A3FAD}"/>
    <cellStyle name="Normal 5 3 3 2 3 3 2 3" xfId="12897" xr:uid="{CC574AE7-119E-421F-B95E-1203569B74C4}"/>
    <cellStyle name="Normal 5 3 3 2 3 3 3" xfId="5643" xr:uid="{00000000-0005-0000-0000-0000A7190000}"/>
    <cellStyle name="Normal 5 3 3 2 3 3 3 2" xfId="14969" xr:uid="{A6A8FD83-E79D-4F19-807B-3DF6ACD44526}"/>
    <cellStyle name="Normal 5 3 3 2 3 3 4" xfId="10752" xr:uid="{90D2CDC4-B660-4DEB-9073-4546ABD16B3C}"/>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5DE8496D-51DC-4C38-84F0-C6114D5624E2}"/>
    <cellStyle name="Normal 5 3 3 2 3 4 2 3" xfId="13310" xr:uid="{75A0905B-080E-4EC7-AC84-7BDE483A01D1}"/>
    <cellStyle name="Normal 5 3 3 2 3 4 3" xfId="6056" xr:uid="{00000000-0005-0000-0000-0000AB190000}"/>
    <cellStyle name="Normal 5 3 3 2 3 4 3 2" xfId="15382" xr:uid="{E3EB95B3-C034-4944-8CB9-A9C5203C0F0E}"/>
    <cellStyle name="Normal 5 3 3 2 3 4 4" xfId="11165" xr:uid="{85A8E59A-46DF-4ACC-8352-DE8F3BFD8561}"/>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E0E46073-4E07-4A7C-97C1-B20419F09E2B}"/>
    <cellStyle name="Normal 5 3 3 2 3 5 2 3" xfId="13723" xr:uid="{8965E800-E2EC-4C66-A17C-CEECA213398F}"/>
    <cellStyle name="Normal 5 3 3 2 3 5 3" xfId="6469" xr:uid="{00000000-0005-0000-0000-0000AF190000}"/>
    <cellStyle name="Normal 5 3 3 2 3 5 3 2" xfId="15795" xr:uid="{2809E43B-C5A7-4D94-81C0-6ABA086F2E44}"/>
    <cellStyle name="Normal 5 3 3 2 3 5 4" xfId="11578" xr:uid="{D23C213F-7506-4EF5-9415-7AF78F8B6626}"/>
    <cellStyle name="Normal 5 3 3 2 3 6" xfId="2599" xr:uid="{00000000-0005-0000-0000-0000B0190000}"/>
    <cellStyle name="Normal 5 3 3 2 3 6 2" xfId="6882" xr:uid="{00000000-0005-0000-0000-0000B1190000}"/>
    <cellStyle name="Normal 5 3 3 2 3 6 2 2" xfId="16208" xr:uid="{8B9FE850-9F1A-4E13-ADCD-F30311A9AF8C}"/>
    <cellStyle name="Normal 5 3 3 2 3 6 3" xfId="11991" xr:uid="{CD12C8BE-F450-40BD-8496-78E9E92AB055}"/>
    <cellStyle name="Normal 5 3 3 2 3 7" xfId="4817" xr:uid="{00000000-0005-0000-0000-0000B2190000}"/>
    <cellStyle name="Normal 5 3 3 2 3 7 2" xfId="14143" xr:uid="{52AC78F8-1BFA-4DE8-97F7-3E3B038F31C2}"/>
    <cellStyle name="Normal 5 3 3 2 3 8" xfId="9039" xr:uid="{84D80CE6-A0CA-4841-8673-26EA7EC6806D}"/>
    <cellStyle name="Normal 5 3 3 2 3 8 2" xfId="18363" xr:uid="{59BBBBC5-DAF4-4C1F-AFBB-F59FAEC5EE36}"/>
    <cellStyle name="Normal 5 3 3 2 3 9" xfId="9926" xr:uid="{F69291C5-1138-4DAA-8CB3-89D1B24BB9A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7CCB9237-3F67-4CEE-A8E5-9D0783FF59F6}"/>
    <cellStyle name="Normal 5 3 3 2 4 2 3" xfId="12481" xr:uid="{8784069F-7337-4186-A932-77D7243870A6}"/>
    <cellStyle name="Normal 5 3 3 2 4 3" xfId="5227" xr:uid="{00000000-0005-0000-0000-0000B6190000}"/>
    <cellStyle name="Normal 5 3 3 2 4 3 2" xfId="14553" xr:uid="{4A4EDDAC-421E-4C5C-9C84-18AC2B29C9B8}"/>
    <cellStyle name="Normal 5 3 3 2 4 4" xfId="9257" xr:uid="{E6656214-6E5B-491F-B1E3-227CB6568726}"/>
    <cellStyle name="Normal 5 3 3 2 4 4 2" xfId="18572" xr:uid="{16CD9177-10FF-4255-A87A-696860D4802A}"/>
    <cellStyle name="Normal 5 3 3 2 4 5" xfId="10336" xr:uid="{41A86EB4-646F-409E-B76D-0451DDB06691}"/>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36D8BF71-06FF-4263-902A-A2A9DDB43775}"/>
    <cellStyle name="Normal 5 3 3 2 5 2 3" xfId="12894" xr:uid="{77DD3827-3399-4A06-85AF-E864E9CB5DED}"/>
    <cellStyle name="Normal 5 3 3 2 5 3" xfId="5640" xr:uid="{00000000-0005-0000-0000-0000BA190000}"/>
    <cellStyle name="Normal 5 3 3 2 5 3 2" xfId="14966" xr:uid="{4EC43ADF-77B3-4D95-BABC-5C0576D6A9FA}"/>
    <cellStyle name="Normal 5 3 3 2 5 4" xfId="10749" xr:uid="{18BC8E58-4F1A-4E37-87FD-1974DD10BEC9}"/>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661D3CD2-242A-4EEE-859E-CA26ADFB0EA3}"/>
    <cellStyle name="Normal 5 3 3 2 6 2 3" xfId="13307" xr:uid="{BEE6B9DD-9492-4971-B834-CFD67E1627CC}"/>
    <cellStyle name="Normal 5 3 3 2 6 3" xfId="6053" xr:uid="{00000000-0005-0000-0000-0000BE190000}"/>
    <cellStyle name="Normal 5 3 3 2 6 3 2" xfId="15379" xr:uid="{3BDD7363-B7A8-45EC-ADC2-09131F48504A}"/>
    <cellStyle name="Normal 5 3 3 2 6 4" xfId="11162" xr:uid="{AB95207F-F155-4AC6-B217-AB997221A523}"/>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C92953C0-5712-4C83-A16A-CA561C825B6D}"/>
    <cellStyle name="Normal 5 3 3 2 7 2 3" xfId="13720" xr:uid="{25C3ECBE-1A0B-484C-95FB-F3ED5E9CDC63}"/>
    <cellStyle name="Normal 5 3 3 2 7 3" xfId="6466" xr:uid="{00000000-0005-0000-0000-0000C2190000}"/>
    <cellStyle name="Normal 5 3 3 2 7 3 2" xfId="15792" xr:uid="{E87EE01F-8FBC-414B-A583-CAFFDEE085D8}"/>
    <cellStyle name="Normal 5 3 3 2 7 4" xfId="11575" xr:uid="{E804E10D-B646-4F8E-B067-EF50C12DBC0A}"/>
    <cellStyle name="Normal 5 3 3 2 8" xfId="2596" xr:uid="{00000000-0005-0000-0000-0000C3190000}"/>
    <cellStyle name="Normal 5 3 3 2 8 2" xfId="6879" xr:uid="{00000000-0005-0000-0000-0000C4190000}"/>
    <cellStyle name="Normal 5 3 3 2 8 2 2" xfId="16205" xr:uid="{E1836C37-6D8B-4AB8-80C1-DD07476EB342}"/>
    <cellStyle name="Normal 5 3 3 2 8 3" xfId="11988" xr:uid="{E8F0CA4C-FD2E-45F1-8F9A-449677E633F9}"/>
    <cellStyle name="Normal 5 3 3 2 9" xfId="4814" xr:uid="{00000000-0005-0000-0000-0000C5190000}"/>
    <cellStyle name="Normal 5 3 3 2 9 2" xfId="14140" xr:uid="{2A92DE30-F549-434E-9192-0D79B3D670E9}"/>
    <cellStyle name="Normal 5 3 3 3" xfId="446" xr:uid="{00000000-0005-0000-0000-0000C6190000}"/>
    <cellStyle name="Normal 5 3 3 3 10" xfId="9927" xr:uid="{903E5071-8A55-4B87-8BD6-6C2B909BB929}"/>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4601E255-6A4F-421E-ADCF-FC4229F68256}"/>
    <cellStyle name="Normal 5 3 3 3 2 2 2 3" xfId="12486" xr:uid="{EADD2DF2-DC6D-49EC-81FF-DBA92A880150}"/>
    <cellStyle name="Normal 5 3 3 3 2 2 3" xfId="5232" xr:uid="{00000000-0005-0000-0000-0000CB190000}"/>
    <cellStyle name="Normal 5 3 3 3 2 2 3 2" xfId="14558" xr:uid="{BA29F531-7097-470F-AF33-AF773430C7A0}"/>
    <cellStyle name="Normal 5 3 3 3 2 2 4" xfId="9517" xr:uid="{EA62A3B1-8ED5-4A6F-ACE0-B924BC16AA9E}"/>
    <cellStyle name="Normal 5 3 3 3 2 2 4 2" xfId="18832" xr:uid="{A8F2F36A-DBE5-411E-BEA0-53D5A830E38D}"/>
    <cellStyle name="Normal 5 3 3 3 2 2 5" xfId="10341" xr:uid="{400D09DB-E5CA-47E3-A59B-4C1F64158C9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36ACDE1A-847A-4574-9A91-3515042A9690}"/>
    <cellStyle name="Normal 5 3 3 3 2 3 2 3" xfId="12899" xr:uid="{3437B63B-3898-4730-A361-86278FA62CB1}"/>
    <cellStyle name="Normal 5 3 3 3 2 3 3" xfId="5645" xr:uid="{00000000-0005-0000-0000-0000CF190000}"/>
    <cellStyle name="Normal 5 3 3 3 2 3 3 2" xfId="14971" xr:uid="{A4E97148-3184-4C10-AF99-7198CE6939A2}"/>
    <cellStyle name="Normal 5 3 3 3 2 3 4" xfId="10754" xr:uid="{D3C48218-5A06-4EE9-B1F7-B24ADB0F423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27E0D1BD-8004-4EA0-BA0C-161747642800}"/>
    <cellStyle name="Normal 5 3 3 3 2 4 2 3" xfId="13312" xr:uid="{638BBCC2-8FC1-4F1E-B905-253EF62F8172}"/>
    <cellStyle name="Normal 5 3 3 3 2 4 3" xfId="6058" xr:uid="{00000000-0005-0000-0000-0000D3190000}"/>
    <cellStyle name="Normal 5 3 3 3 2 4 3 2" xfId="15384" xr:uid="{611421A1-6A1F-4702-9CB9-62BA8A91B063}"/>
    <cellStyle name="Normal 5 3 3 3 2 4 4" xfId="11167" xr:uid="{0601691C-D38E-4745-932D-E4021051661C}"/>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267BB9A9-166A-4430-B1D1-98C10ADEEA09}"/>
    <cellStyle name="Normal 5 3 3 3 2 5 2 3" xfId="13725" xr:uid="{FC4C8774-A383-432C-9D8F-478E79AE8D49}"/>
    <cellStyle name="Normal 5 3 3 3 2 5 3" xfId="6471" xr:uid="{00000000-0005-0000-0000-0000D7190000}"/>
    <cellStyle name="Normal 5 3 3 3 2 5 3 2" xfId="15797" xr:uid="{2689990E-4F67-422E-9474-827CCF8AC7C6}"/>
    <cellStyle name="Normal 5 3 3 3 2 5 4" xfId="11580" xr:uid="{B8F6C74D-E60E-4B0A-AA49-0FC1B4CF141E}"/>
    <cellStyle name="Normal 5 3 3 3 2 6" xfId="2601" xr:uid="{00000000-0005-0000-0000-0000D8190000}"/>
    <cellStyle name="Normal 5 3 3 3 2 6 2" xfId="6884" xr:uid="{00000000-0005-0000-0000-0000D9190000}"/>
    <cellStyle name="Normal 5 3 3 3 2 6 2 2" xfId="16210" xr:uid="{43363EC1-C3B3-42BF-9DEF-BCBB6E8E0800}"/>
    <cellStyle name="Normal 5 3 3 3 2 6 3" xfId="11993" xr:uid="{7512BDDA-A741-42C1-BAD9-7CD348B1C7F1}"/>
    <cellStyle name="Normal 5 3 3 3 2 7" xfId="4819" xr:uid="{00000000-0005-0000-0000-0000DA190000}"/>
    <cellStyle name="Normal 5 3 3 3 2 7 2" xfId="14145" xr:uid="{48F1A74F-468F-4E2C-B376-2DBC8108B3FE}"/>
    <cellStyle name="Normal 5 3 3 3 2 8" xfId="9092" xr:uid="{A018BC5E-3880-4BA4-8CFB-322C89A13B5F}"/>
    <cellStyle name="Normal 5 3 3 3 2 8 2" xfId="18416" xr:uid="{67B2750A-9BD3-4BA1-BE59-7DD593761FD5}"/>
    <cellStyle name="Normal 5 3 3 3 2 9" xfId="9928" xr:uid="{D150F50B-8CB4-4B89-AC47-5C94926A9F12}"/>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A0CFDF66-365A-41D8-9B53-3D82C9775EBC}"/>
    <cellStyle name="Normal 5 3 3 3 3 2 3" xfId="12485" xr:uid="{E579C45B-EB88-4EFD-94A4-DD768962A555}"/>
    <cellStyle name="Normal 5 3 3 3 3 3" xfId="5231" xr:uid="{00000000-0005-0000-0000-0000DE190000}"/>
    <cellStyle name="Normal 5 3 3 3 3 3 2" xfId="14557" xr:uid="{DFD4C21C-3551-4D6B-AD08-2EA83A48C745}"/>
    <cellStyle name="Normal 5 3 3 3 3 4" xfId="9310" xr:uid="{D169C31A-17C5-4934-97DF-D90479FD2654}"/>
    <cellStyle name="Normal 5 3 3 3 3 4 2" xfId="18625" xr:uid="{C824B2B1-63CB-4827-A0DB-E757E10B3C87}"/>
    <cellStyle name="Normal 5 3 3 3 3 5" xfId="10340" xr:uid="{86E3D999-2BA5-43D9-A125-96A30C831E6F}"/>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15773981-040D-40AD-93D4-DACC7D0EFF6A}"/>
    <cellStyle name="Normal 5 3 3 3 4 2 3" xfId="12898" xr:uid="{95876510-3CFC-4480-BE3A-4BA1967E2601}"/>
    <cellStyle name="Normal 5 3 3 3 4 3" xfId="5644" xr:uid="{00000000-0005-0000-0000-0000E2190000}"/>
    <cellStyle name="Normal 5 3 3 3 4 3 2" xfId="14970" xr:uid="{41AF16D5-B5F3-4C46-AFF2-0022D8590227}"/>
    <cellStyle name="Normal 5 3 3 3 4 4" xfId="10753" xr:uid="{295BF928-272B-41E4-AD05-17936E7A5C98}"/>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3AF99609-3ED5-48A2-827C-02266E3CB0E4}"/>
    <cellStyle name="Normal 5 3 3 3 5 2 3" xfId="13311" xr:uid="{EAEA3EA7-F91D-4E0B-90CD-3F3D32914318}"/>
    <cellStyle name="Normal 5 3 3 3 5 3" xfId="6057" xr:uid="{00000000-0005-0000-0000-0000E6190000}"/>
    <cellStyle name="Normal 5 3 3 3 5 3 2" xfId="15383" xr:uid="{0EF4D2E3-8D47-4F2B-AC37-552B716A5E5A}"/>
    <cellStyle name="Normal 5 3 3 3 5 4" xfId="11166" xr:uid="{703C6431-5D01-40AB-BDBB-FE9E7B89087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AD1A5972-3AAE-4986-913E-941B539A8D03}"/>
    <cellStyle name="Normal 5 3 3 3 6 2 3" xfId="13724" xr:uid="{F949E33D-8C07-47DE-9B95-11CB00A797AC}"/>
    <cellStyle name="Normal 5 3 3 3 6 3" xfId="6470" xr:uid="{00000000-0005-0000-0000-0000EA190000}"/>
    <cellStyle name="Normal 5 3 3 3 6 3 2" xfId="15796" xr:uid="{943E43BE-33AB-41C7-8431-7418D2E19856}"/>
    <cellStyle name="Normal 5 3 3 3 6 4" xfId="11579" xr:uid="{597D56C8-5E01-4A9D-888C-3E14F415A021}"/>
    <cellStyle name="Normal 5 3 3 3 7" xfId="2600" xr:uid="{00000000-0005-0000-0000-0000EB190000}"/>
    <cellStyle name="Normal 5 3 3 3 7 2" xfId="6883" xr:uid="{00000000-0005-0000-0000-0000EC190000}"/>
    <cellStyle name="Normal 5 3 3 3 7 2 2" xfId="16209" xr:uid="{580E79A1-92E5-46D4-A51A-C925F0265DA1}"/>
    <cellStyle name="Normal 5 3 3 3 7 3" xfId="11992" xr:uid="{B3D1A567-56E5-471F-A43C-F933BEC43191}"/>
    <cellStyle name="Normal 5 3 3 3 8" xfId="4818" xr:uid="{00000000-0005-0000-0000-0000ED190000}"/>
    <cellStyle name="Normal 5 3 3 3 8 2" xfId="14144" xr:uid="{5D0693A6-3042-49C4-8C51-8FD1C0FA382F}"/>
    <cellStyle name="Normal 5 3 3 3 9" xfId="8885" xr:uid="{BFA59703-C126-4DE9-A819-9190501D5C5B}"/>
    <cellStyle name="Normal 5 3 3 3 9 2" xfId="18209" xr:uid="{E88A30F3-1467-4B68-8083-924CC2F71F0F}"/>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443BEAAC-07D5-4A3C-B34F-1D178FB176F9}"/>
    <cellStyle name="Normal 5 3 3 4 2 2 3" xfId="12487" xr:uid="{DEC9441C-76B0-4F1E-8983-67749348B6A5}"/>
    <cellStyle name="Normal 5 3 3 4 2 3" xfId="5233" xr:uid="{00000000-0005-0000-0000-0000F2190000}"/>
    <cellStyle name="Normal 5 3 3 4 2 3 2" xfId="14559" xr:uid="{A09518B0-65E9-440D-B4B6-08C803481BD6}"/>
    <cellStyle name="Normal 5 3 3 4 2 4" xfId="9414" xr:uid="{BD781A4C-FDA7-4D11-87F3-3D38EC19B37A}"/>
    <cellStyle name="Normal 5 3 3 4 2 4 2" xfId="18729" xr:uid="{A27E6A87-87DC-4A1A-B2B0-840C8FB2AEC5}"/>
    <cellStyle name="Normal 5 3 3 4 2 5" xfId="10342" xr:uid="{07767CBD-3C69-48DB-8424-F094E7668DA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2B59191E-FF13-4CC1-BC78-C69F938CED18}"/>
    <cellStyle name="Normal 5 3 3 4 3 2 3" xfId="12900" xr:uid="{A2559449-19B8-467F-A75C-8BDAA1C7C342}"/>
    <cellStyle name="Normal 5 3 3 4 3 3" xfId="5646" xr:uid="{00000000-0005-0000-0000-0000F6190000}"/>
    <cellStyle name="Normal 5 3 3 4 3 3 2" xfId="14972" xr:uid="{4BF837E1-ADFB-4B10-85E1-9145C271523F}"/>
    <cellStyle name="Normal 5 3 3 4 3 4" xfId="10755" xr:uid="{82992095-0D0D-4F84-8F8B-0959FC1E18A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07235069-572D-4DE8-B951-2C84FA5A9A1F}"/>
    <cellStyle name="Normal 5 3 3 4 4 2 3" xfId="13313" xr:uid="{70386AB1-DBFC-4DD0-890E-3B3437FE6616}"/>
    <cellStyle name="Normal 5 3 3 4 4 3" xfId="6059" xr:uid="{00000000-0005-0000-0000-0000FA190000}"/>
    <cellStyle name="Normal 5 3 3 4 4 3 2" xfId="15385" xr:uid="{609C62F1-4C0E-4BA5-8CFC-D7C1D962F5D4}"/>
    <cellStyle name="Normal 5 3 3 4 4 4" xfId="11168" xr:uid="{10BBC83D-5258-4358-ABF7-837335619C1A}"/>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7580DBA7-B835-4491-89E5-395D6C8E8587}"/>
    <cellStyle name="Normal 5 3 3 4 5 2 3" xfId="13726" xr:uid="{378F8187-7CC7-4891-989C-0C69596567BA}"/>
    <cellStyle name="Normal 5 3 3 4 5 3" xfId="6472" xr:uid="{00000000-0005-0000-0000-0000FE190000}"/>
    <cellStyle name="Normal 5 3 3 4 5 3 2" xfId="15798" xr:uid="{16B531CC-47F5-41EE-91D1-067C9DCE8971}"/>
    <cellStyle name="Normal 5 3 3 4 5 4" xfId="11581" xr:uid="{7710570A-1E9A-48E6-B714-601434E35BC1}"/>
    <cellStyle name="Normal 5 3 3 4 6" xfId="2602" xr:uid="{00000000-0005-0000-0000-0000FF190000}"/>
    <cellStyle name="Normal 5 3 3 4 6 2" xfId="6885" xr:uid="{00000000-0005-0000-0000-0000001A0000}"/>
    <cellStyle name="Normal 5 3 3 4 6 2 2" xfId="16211" xr:uid="{A242F72A-5F0B-44CC-B379-99DD2DAE0511}"/>
    <cellStyle name="Normal 5 3 3 4 6 3" xfId="11994" xr:uid="{F0BCB87D-440B-4FCD-A985-E5BBF29BCB26}"/>
    <cellStyle name="Normal 5 3 3 4 7" xfId="4820" xr:uid="{00000000-0005-0000-0000-0000011A0000}"/>
    <cellStyle name="Normal 5 3 3 4 7 2" xfId="14146" xr:uid="{02237176-3B28-47F0-A07A-3E8843CAF71D}"/>
    <cellStyle name="Normal 5 3 3 4 8" xfId="8989" xr:uid="{20FA1483-98E6-46C4-B00B-4EAF7957981D}"/>
    <cellStyle name="Normal 5 3 3 4 8 2" xfId="18313" xr:uid="{9C3CA73F-4E69-4D76-BD66-69122DD40FF8}"/>
    <cellStyle name="Normal 5 3 3 4 9" xfId="9929" xr:uid="{5379708A-6E35-4A64-A738-1F5AA4D1CFF0}"/>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CBFCAC35-2149-4E8E-9918-BB39C0FC4048}"/>
    <cellStyle name="Normal 5 3 3 5 2 3" xfId="12480" xr:uid="{D164A034-CE4B-498E-866C-E404C3F80E82}"/>
    <cellStyle name="Normal 5 3 3 5 3" xfId="5226" xr:uid="{00000000-0005-0000-0000-0000051A0000}"/>
    <cellStyle name="Normal 5 3 3 5 3 2" xfId="14552" xr:uid="{3B38899E-29DE-44F2-B147-145A3AED092C}"/>
    <cellStyle name="Normal 5 3 3 5 4" xfId="9206" xr:uid="{CA749CBB-EAB5-483B-862D-D7B95A23D45C}"/>
    <cellStyle name="Normal 5 3 3 5 4 2" xfId="18522" xr:uid="{233111A6-7452-428E-97CB-263CE6679A1A}"/>
    <cellStyle name="Normal 5 3 3 5 5" xfId="10335" xr:uid="{E6D03CED-131E-4571-A9C7-FCE9E93D5A47}"/>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1645C1DC-6970-4D07-9B83-B3DD55D0E3A1}"/>
    <cellStyle name="Normal 5 3 3 6 2 3" xfId="12893" xr:uid="{90750F40-9DDF-4B12-BF59-46579CCF8652}"/>
    <cellStyle name="Normal 5 3 3 6 3" xfId="5639" xr:uid="{00000000-0005-0000-0000-0000091A0000}"/>
    <cellStyle name="Normal 5 3 3 6 3 2" xfId="14965" xr:uid="{45C442E3-1138-453C-B029-64434E82BE49}"/>
    <cellStyle name="Normal 5 3 3 6 4" xfId="10748" xr:uid="{D1AC6A26-73F7-41E6-ABB6-E16192A3D533}"/>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3B0D8FD4-41DA-4F77-87E8-ECB3E198FE2D}"/>
    <cellStyle name="Normal 5 3 3 7 2 3" xfId="13306" xr:uid="{17FD0A30-57B9-47E9-9C38-DAED09387BE5}"/>
    <cellStyle name="Normal 5 3 3 7 3" xfId="6052" xr:uid="{00000000-0005-0000-0000-00000D1A0000}"/>
    <cellStyle name="Normal 5 3 3 7 3 2" xfId="15378" xr:uid="{F4F3FCF6-A5CC-412A-A4E9-8BE4CDF46425}"/>
    <cellStyle name="Normal 5 3 3 7 4" xfId="11161" xr:uid="{24953157-C259-43CD-AD17-2D7627BB81D8}"/>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7D0A8D8D-1F10-44C1-B365-3BCBA941D976}"/>
    <cellStyle name="Normal 5 3 3 8 2 3" xfId="13719" xr:uid="{D0707042-0ADB-4536-A3DF-88BE7A2D2E6B}"/>
    <cellStyle name="Normal 5 3 3 8 3" xfId="6465" xr:uid="{00000000-0005-0000-0000-0000111A0000}"/>
    <cellStyle name="Normal 5 3 3 8 3 2" xfId="15791" xr:uid="{C35C4F5C-0A00-4B49-ABA2-1C3993A76402}"/>
    <cellStyle name="Normal 5 3 3 8 4" xfId="11574" xr:uid="{B2EDF412-B3F8-457A-A399-509D287AB3B8}"/>
    <cellStyle name="Normal 5 3 3 9" xfId="2595" xr:uid="{00000000-0005-0000-0000-0000121A0000}"/>
    <cellStyle name="Normal 5 3 3 9 2" xfId="6878" xr:uid="{00000000-0005-0000-0000-0000131A0000}"/>
    <cellStyle name="Normal 5 3 3 9 2 2" xfId="16204" xr:uid="{5AAA70B2-F73E-46CD-9F54-9FE90E84198A}"/>
    <cellStyle name="Normal 5 3 3 9 3" xfId="11987" xr:uid="{F7C8450E-5E23-4229-8796-6B67DABFC8FC}"/>
    <cellStyle name="Normal 5 3 4" xfId="449" xr:uid="{00000000-0005-0000-0000-0000141A0000}"/>
    <cellStyle name="Normal 5 3 4 10" xfId="8831" xr:uid="{39AD872D-FBC2-4C4A-B537-79F8014E4247}"/>
    <cellStyle name="Normal 5 3 4 10 2" xfId="18155" xr:uid="{7EE4926F-EB9C-49F8-AF22-724C6B79A746}"/>
    <cellStyle name="Normal 5 3 4 11" xfId="9930" xr:uid="{0BB28997-484E-43B2-BF4F-7CE73913EC82}"/>
    <cellStyle name="Normal 5 3 4 2" xfId="450" xr:uid="{00000000-0005-0000-0000-0000151A0000}"/>
    <cellStyle name="Normal 5 3 4 2 10" xfId="9931" xr:uid="{7F26DE7C-E7B6-4FE3-9F61-791EA49DA9B2}"/>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BFABCF31-E891-48B1-B991-5E9ECE531603}"/>
    <cellStyle name="Normal 5 3 4 2 2 2 2 3" xfId="12490" xr:uid="{23F425B0-CBE4-402D-BDD3-A5A79118430F}"/>
    <cellStyle name="Normal 5 3 4 2 2 2 3" xfId="5236" xr:uid="{00000000-0005-0000-0000-00001A1A0000}"/>
    <cellStyle name="Normal 5 3 4 2 2 2 3 2" xfId="14562" xr:uid="{E9485A5B-B422-4B8A-9DD9-6E713979D0F6}"/>
    <cellStyle name="Normal 5 3 4 2 2 2 4" xfId="9566" xr:uid="{D483C248-9680-462F-989C-42C712CD6EB7}"/>
    <cellStyle name="Normal 5 3 4 2 2 2 4 2" xfId="18881" xr:uid="{25C0C984-25E0-4189-A508-E9EDE3F04509}"/>
    <cellStyle name="Normal 5 3 4 2 2 2 5" xfId="10345" xr:uid="{9A10EC1F-D7FA-463E-83A1-A85DD6373A55}"/>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8F5E1EF7-CA0B-4415-971F-E96996B6F3B6}"/>
    <cellStyle name="Normal 5 3 4 2 2 3 2 3" xfId="12903" xr:uid="{C6915967-E2F5-4F09-B86F-C8C323B15EC7}"/>
    <cellStyle name="Normal 5 3 4 2 2 3 3" xfId="5649" xr:uid="{00000000-0005-0000-0000-00001E1A0000}"/>
    <cellStyle name="Normal 5 3 4 2 2 3 3 2" xfId="14975" xr:uid="{C7191878-E122-49C6-8F61-8F2824B7D50F}"/>
    <cellStyle name="Normal 5 3 4 2 2 3 4" xfId="10758" xr:uid="{44355185-D20E-4985-B539-CC6808F3BA68}"/>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BB60BB55-118B-45DD-B0E4-1BB2083CF003}"/>
    <cellStyle name="Normal 5 3 4 2 2 4 2 3" xfId="13316" xr:uid="{D2C2927E-9260-450E-A8D9-447CCD125231}"/>
    <cellStyle name="Normal 5 3 4 2 2 4 3" xfId="6062" xr:uid="{00000000-0005-0000-0000-0000221A0000}"/>
    <cellStyle name="Normal 5 3 4 2 2 4 3 2" xfId="15388" xr:uid="{129F3BE2-C3E8-44AC-8EF6-929A168D4806}"/>
    <cellStyle name="Normal 5 3 4 2 2 4 4" xfId="11171" xr:uid="{7C5683A4-E22E-41A8-BA1C-9B4339A2C71A}"/>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D95F9ABB-9D48-4C4D-81AA-6BC96BED456A}"/>
    <cellStyle name="Normal 5 3 4 2 2 5 2 3" xfId="13729" xr:uid="{C554A416-0BA2-40CF-B5CF-16016317148A}"/>
    <cellStyle name="Normal 5 3 4 2 2 5 3" xfId="6475" xr:uid="{00000000-0005-0000-0000-0000261A0000}"/>
    <cellStyle name="Normal 5 3 4 2 2 5 3 2" xfId="15801" xr:uid="{A66DFE51-A32C-43F6-BA8C-8CAF0C6DCB8D}"/>
    <cellStyle name="Normal 5 3 4 2 2 5 4" xfId="11584" xr:uid="{69F505C1-8F8A-4233-AA1F-7A674E2781B5}"/>
    <cellStyle name="Normal 5 3 4 2 2 6" xfId="2605" xr:uid="{00000000-0005-0000-0000-0000271A0000}"/>
    <cellStyle name="Normal 5 3 4 2 2 6 2" xfId="6888" xr:uid="{00000000-0005-0000-0000-0000281A0000}"/>
    <cellStyle name="Normal 5 3 4 2 2 6 2 2" xfId="16214" xr:uid="{5D38DD31-882E-44FB-B6C6-0E4BDF272236}"/>
    <cellStyle name="Normal 5 3 4 2 2 6 3" xfId="11997" xr:uid="{A61DEA41-49EC-4FA2-9D15-5F83D2083607}"/>
    <cellStyle name="Normal 5 3 4 2 2 7" xfId="4823" xr:uid="{00000000-0005-0000-0000-0000291A0000}"/>
    <cellStyle name="Normal 5 3 4 2 2 7 2" xfId="14149" xr:uid="{85E58857-A6AC-4BF8-8763-52751302608B}"/>
    <cellStyle name="Normal 5 3 4 2 2 8" xfId="9141" xr:uid="{6B63A6D0-0E60-498B-8E53-451D5144533A}"/>
    <cellStyle name="Normal 5 3 4 2 2 8 2" xfId="18465" xr:uid="{1EC74EEE-693A-457C-BCBE-C2145FD29506}"/>
    <cellStyle name="Normal 5 3 4 2 2 9" xfId="9932" xr:uid="{8DD28B3D-AF34-43B7-8BB0-63303CC82D4E}"/>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A28D35FD-E107-4B40-8E7C-11A962D365BB}"/>
    <cellStyle name="Normal 5 3 4 2 3 2 3" xfId="12489" xr:uid="{643884D9-9120-4AFE-B80C-CAC5F32FEF2A}"/>
    <cellStyle name="Normal 5 3 4 2 3 3" xfId="5235" xr:uid="{00000000-0005-0000-0000-00002D1A0000}"/>
    <cellStyle name="Normal 5 3 4 2 3 3 2" xfId="14561" xr:uid="{8821BFFB-49C9-4DC4-A989-64FA68F7A251}"/>
    <cellStyle name="Normal 5 3 4 2 3 4" xfId="9359" xr:uid="{FAC41203-2BC4-411F-9296-10781BA4F1AB}"/>
    <cellStyle name="Normal 5 3 4 2 3 4 2" xfId="18674" xr:uid="{ADA4C7AC-4B6B-4508-8E7A-BD7F82B4761C}"/>
    <cellStyle name="Normal 5 3 4 2 3 5" xfId="10344" xr:uid="{42E87B6D-1223-47EC-9D6D-9CE6E9831D67}"/>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820D5AA3-9972-47F3-9F6F-D5BA8D6995C2}"/>
    <cellStyle name="Normal 5 3 4 2 4 2 3" xfId="12902" xr:uid="{9AAFFCA7-1178-4333-BAE6-E265E80A44F8}"/>
    <cellStyle name="Normal 5 3 4 2 4 3" xfId="5648" xr:uid="{00000000-0005-0000-0000-0000311A0000}"/>
    <cellStyle name="Normal 5 3 4 2 4 3 2" xfId="14974" xr:uid="{35D93033-029A-468D-BA1B-2BACAB306555}"/>
    <cellStyle name="Normal 5 3 4 2 4 4" xfId="10757" xr:uid="{0A301D86-E285-495F-BE3C-FD5A9EF006C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101459ED-65F0-4FF0-B456-7C195EFC358C}"/>
    <cellStyle name="Normal 5 3 4 2 5 2 3" xfId="13315" xr:uid="{6E8A7FB6-D0D7-48A6-B554-7F014A871B12}"/>
    <cellStyle name="Normal 5 3 4 2 5 3" xfId="6061" xr:uid="{00000000-0005-0000-0000-0000351A0000}"/>
    <cellStyle name="Normal 5 3 4 2 5 3 2" xfId="15387" xr:uid="{7CE26F54-8C60-4786-9F1D-482BA552D4D4}"/>
    <cellStyle name="Normal 5 3 4 2 5 4" xfId="11170" xr:uid="{8F7A3E1C-3F0C-4F85-949F-0CC063E0E615}"/>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302C2F14-1514-439E-B08C-CFD07F574752}"/>
    <cellStyle name="Normal 5 3 4 2 6 2 3" xfId="13728" xr:uid="{2A27DB6A-97B8-4CB2-A348-FB19C7B8499E}"/>
    <cellStyle name="Normal 5 3 4 2 6 3" xfId="6474" xr:uid="{00000000-0005-0000-0000-0000391A0000}"/>
    <cellStyle name="Normal 5 3 4 2 6 3 2" xfId="15800" xr:uid="{28FA470D-1D19-447B-AAA7-519C5CC7ED0E}"/>
    <cellStyle name="Normal 5 3 4 2 6 4" xfId="11583" xr:uid="{62629897-90C5-4B48-B742-CC43A3A5B58D}"/>
    <cellStyle name="Normal 5 3 4 2 7" xfId="2604" xr:uid="{00000000-0005-0000-0000-00003A1A0000}"/>
    <cellStyle name="Normal 5 3 4 2 7 2" xfId="6887" xr:uid="{00000000-0005-0000-0000-00003B1A0000}"/>
    <cellStyle name="Normal 5 3 4 2 7 2 2" xfId="16213" xr:uid="{C8CA409B-674F-4D6C-A4E3-EB28B7B17EFE}"/>
    <cellStyle name="Normal 5 3 4 2 7 3" xfId="11996" xr:uid="{BC376323-DABB-4EA7-A864-5271E91941CA}"/>
    <cellStyle name="Normal 5 3 4 2 8" xfId="4822" xr:uid="{00000000-0005-0000-0000-00003C1A0000}"/>
    <cellStyle name="Normal 5 3 4 2 8 2" xfId="14148" xr:uid="{F0B210E3-7095-409D-BE72-5E8A3694FEBD}"/>
    <cellStyle name="Normal 5 3 4 2 9" xfId="8934" xr:uid="{D16D0DF9-4576-4200-8972-8AAD50545E0D}"/>
    <cellStyle name="Normal 5 3 4 2 9 2" xfId="18258" xr:uid="{D8740F7A-2BFB-4848-9AE1-9ED6943F8C01}"/>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D8A8D96C-6233-475C-AB4C-D2677080FC75}"/>
    <cellStyle name="Normal 5 3 4 3 2 2 3" xfId="12491" xr:uid="{B07FB54E-BDD7-459B-8322-468D50D0121D}"/>
    <cellStyle name="Normal 5 3 4 3 2 3" xfId="5237" xr:uid="{00000000-0005-0000-0000-0000411A0000}"/>
    <cellStyle name="Normal 5 3 4 3 2 3 2" xfId="14563" xr:uid="{22C78E3F-AF65-47DF-BA82-FC29A9744681}"/>
    <cellStyle name="Normal 5 3 4 3 2 4" xfId="9463" xr:uid="{1CC38E89-013B-404F-9F3E-11BABC37F656}"/>
    <cellStyle name="Normal 5 3 4 3 2 4 2" xfId="18778" xr:uid="{69A5F430-6AE4-46D2-BAED-BD8D8F02AF5C}"/>
    <cellStyle name="Normal 5 3 4 3 2 5" xfId="10346" xr:uid="{F76CCD1C-06E2-42C5-8A62-5C0D295CABDD}"/>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90B1B813-4675-4474-8DB7-5CC11A8484E0}"/>
    <cellStyle name="Normal 5 3 4 3 3 2 3" xfId="12904" xr:uid="{2A89BD6A-1F2D-4639-8186-B697611D1885}"/>
    <cellStyle name="Normal 5 3 4 3 3 3" xfId="5650" xr:uid="{00000000-0005-0000-0000-0000451A0000}"/>
    <cellStyle name="Normal 5 3 4 3 3 3 2" xfId="14976" xr:uid="{9C1790B4-0A3A-4F77-863D-0A23100A4B44}"/>
    <cellStyle name="Normal 5 3 4 3 3 4" xfId="10759" xr:uid="{1379AEDC-95EF-4B4B-818E-D33A7C2607A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75376424-E225-4B79-84AA-71C0A87FD3CD}"/>
    <cellStyle name="Normal 5 3 4 3 4 2 3" xfId="13317" xr:uid="{7595B711-97BB-42B7-A5DA-7C7C1A818FCD}"/>
    <cellStyle name="Normal 5 3 4 3 4 3" xfId="6063" xr:uid="{00000000-0005-0000-0000-0000491A0000}"/>
    <cellStyle name="Normal 5 3 4 3 4 3 2" xfId="15389" xr:uid="{6EEF9D43-6512-47AF-BB6C-221ADEBD118C}"/>
    <cellStyle name="Normal 5 3 4 3 4 4" xfId="11172" xr:uid="{E4535777-AD45-4E15-8208-22ACDCBD9497}"/>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03DA8008-1335-4333-847C-FC673A192B48}"/>
    <cellStyle name="Normal 5 3 4 3 5 2 3" xfId="13730" xr:uid="{E321E3ED-EE67-4D29-B060-3DA373BCF2BA}"/>
    <cellStyle name="Normal 5 3 4 3 5 3" xfId="6476" xr:uid="{00000000-0005-0000-0000-00004D1A0000}"/>
    <cellStyle name="Normal 5 3 4 3 5 3 2" xfId="15802" xr:uid="{76BAE523-1B59-431E-9155-870B0930804A}"/>
    <cellStyle name="Normal 5 3 4 3 5 4" xfId="11585" xr:uid="{2C25D59A-2B01-4644-9603-C99AC2E6008D}"/>
    <cellStyle name="Normal 5 3 4 3 6" xfId="2606" xr:uid="{00000000-0005-0000-0000-00004E1A0000}"/>
    <cellStyle name="Normal 5 3 4 3 6 2" xfId="6889" xr:uid="{00000000-0005-0000-0000-00004F1A0000}"/>
    <cellStyle name="Normal 5 3 4 3 6 2 2" xfId="16215" xr:uid="{FD1BFC7A-133A-4284-A10B-5620C0BB6D47}"/>
    <cellStyle name="Normal 5 3 4 3 6 3" xfId="11998" xr:uid="{55ED51B5-D8C3-438E-94F3-EBB72A5EEA69}"/>
    <cellStyle name="Normal 5 3 4 3 7" xfId="4824" xr:uid="{00000000-0005-0000-0000-0000501A0000}"/>
    <cellStyle name="Normal 5 3 4 3 7 2" xfId="14150" xr:uid="{8BF9DC83-D0CC-42BE-AE5B-CB76B96141EA}"/>
    <cellStyle name="Normal 5 3 4 3 8" xfId="9038" xr:uid="{15024032-E3C2-4FDD-B674-481D39A836C5}"/>
    <cellStyle name="Normal 5 3 4 3 8 2" xfId="18362" xr:uid="{AA18FABB-ABD2-478D-92E4-4324F34E50CF}"/>
    <cellStyle name="Normal 5 3 4 3 9" xfId="9933" xr:uid="{7148E0BC-D9DD-4F9D-A241-486B1C073748}"/>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3751C6F8-EA95-4EF9-BB28-6DE052E9F591}"/>
    <cellStyle name="Normal 5 3 4 4 2 3" xfId="12488" xr:uid="{3CA2D188-F4AB-41C6-8810-BD14A7061A58}"/>
    <cellStyle name="Normal 5 3 4 4 3" xfId="5234" xr:uid="{00000000-0005-0000-0000-0000541A0000}"/>
    <cellStyle name="Normal 5 3 4 4 3 2" xfId="14560" xr:uid="{138CC5EB-3132-49DA-961E-062BDBA6B37B}"/>
    <cellStyle name="Normal 5 3 4 4 4" xfId="9256" xr:uid="{69A14F57-2B46-4294-8CA5-E21858516C25}"/>
    <cellStyle name="Normal 5 3 4 4 4 2" xfId="18571" xr:uid="{72AD9E55-8415-44E6-9A0A-A773017CDE3E}"/>
    <cellStyle name="Normal 5 3 4 4 5" xfId="10343" xr:uid="{27E9DAAE-0E69-436A-AD22-3A78ACC5B732}"/>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96455F2D-DBA9-4C68-9473-4A20CAA4EC80}"/>
    <cellStyle name="Normal 5 3 4 5 2 3" xfId="12901" xr:uid="{A18929D7-37EE-49D6-9E9E-F83F540DADE8}"/>
    <cellStyle name="Normal 5 3 4 5 3" xfId="5647" xr:uid="{00000000-0005-0000-0000-0000581A0000}"/>
    <cellStyle name="Normal 5 3 4 5 3 2" xfId="14973" xr:uid="{36E46FAF-2D39-4C93-AAA5-4CEEF106A070}"/>
    <cellStyle name="Normal 5 3 4 5 4" xfId="10756" xr:uid="{FBEDC90A-FCD5-47FE-B86D-E77CF57575FF}"/>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7B68D4EA-2706-4B38-8A96-C461492D62DF}"/>
    <cellStyle name="Normal 5 3 4 6 2 3" xfId="13314" xr:uid="{C8CCBD89-0494-48A2-B513-61A5BD63DC17}"/>
    <cellStyle name="Normal 5 3 4 6 3" xfId="6060" xr:uid="{00000000-0005-0000-0000-00005C1A0000}"/>
    <cellStyle name="Normal 5 3 4 6 3 2" xfId="15386" xr:uid="{5B8DE15B-BF51-4CE5-86AE-3C6DE5928545}"/>
    <cellStyle name="Normal 5 3 4 6 4" xfId="11169" xr:uid="{B8A10375-9AF1-4F5C-9DCE-45BD57B14174}"/>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08193A09-DA3A-4164-BC0C-F9A8A031A25D}"/>
    <cellStyle name="Normal 5 3 4 7 2 3" xfId="13727" xr:uid="{C1B5669F-976E-489E-95D4-688C718B0606}"/>
    <cellStyle name="Normal 5 3 4 7 3" xfId="6473" xr:uid="{00000000-0005-0000-0000-0000601A0000}"/>
    <cellStyle name="Normal 5 3 4 7 3 2" xfId="15799" xr:uid="{40BCF66E-2427-4ABB-8CEB-5E1089F6AA9B}"/>
    <cellStyle name="Normal 5 3 4 7 4" xfId="11582" xr:uid="{42431048-5EE3-4DB9-9F7C-735BECD6D711}"/>
    <cellStyle name="Normal 5 3 4 8" xfId="2603" xr:uid="{00000000-0005-0000-0000-0000611A0000}"/>
    <cellStyle name="Normal 5 3 4 8 2" xfId="6886" xr:uid="{00000000-0005-0000-0000-0000621A0000}"/>
    <cellStyle name="Normal 5 3 4 8 2 2" xfId="16212" xr:uid="{A6B03EC7-D3BD-4C44-814A-1FB19F9413E1}"/>
    <cellStyle name="Normal 5 3 4 8 3" xfId="11995" xr:uid="{EC355CA7-E878-41CF-81BF-A9050714DE24}"/>
    <cellStyle name="Normal 5 3 4 9" xfId="4821" xr:uid="{00000000-0005-0000-0000-0000631A0000}"/>
    <cellStyle name="Normal 5 3 4 9 2" xfId="14147" xr:uid="{0FA0FDDD-2325-4C26-AEE3-205CE3B0BB78}"/>
    <cellStyle name="Normal 5 3 5" xfId="453" xr:uid="{00000000-0005-0000-0000-0000641A0000}"/>
    <cellStyle name="Normal 5 3 5 10" xfId="9934" xr:uid="{9CDFB2B1-AEC5-438E-9082-D9EC11FCF09A}"/>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47F4365A-C797-4D96-A49B-9BA6E6FAAD03}"/>
    <cellStyle name="Normal 5 3 5 2 2 2 3" xfId="12493" xr:uid="{BB9F3B1B-2873-40E0-A46E-32C9A59AAF1D}"/>
    <cellStyle name="Normal 5 3 5 2 2 3" xfId="5239" xr:uid="{00000000-0005-0000-0000-0000691A0000}"/>
    <cellStyle name="Normal 5 3 5 2 2 3 2" xfId="14565" xr:uid="{1DC41C7D-5206-4BCE-B45A-4E185FEFDF7C}"/>
    <cellStyle name="Normal 5 3 5 2 2 4" xfId="9485" xr:uid="{E88A0512-4544-44F7-B02F-696DEB177F8E}"/>
    <cellStyle name="Normal 5 3 5 2 2 4 2" xfId="18800" xr:uid="{E173D0D5-887E-4949-B569-DFC4F53424B0}"/>
    <cellStyle name="Normal 5 3 5 2 2 5" xfId="10348" xr:uid="{28837348-DB61-4359-A480-D0F68471C16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7267A46F-4DE8-41EF-9812-FCAD7B4F5584}"/>
    <cellStyle name="Normal 5 3 5 2 3 2 3" xfId="12906" xr:uid="{9470C5BC-28D5-4DD6-B455-6E5405D21D72}"/>
    <cellStyle name="Normal 5 3 5 2 3 3" xfId="5652" xr:uid="{00000000-0005-0000-0000-00006D1A0000}"/>
    <cellStyle name="Normal 5 3 5 2 3 3 2" xfId="14978" xr:uid="{816E8AA2-02A5-4108-AF5C-A1820F4B3826}"/>
    <cellStyle name="Normal 5 3 5 2 3 4" xfId="10761" xr:uid="{64E6F561-D261-4DFF-BD1E-5938B021CE79}"/>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DA15E9E9-BC6D-4173-8F64-DDF03D6B3275}"/>
    <cellStyle name="Normal 5 3 5 2 4 2 3" xfId="13319" xr:uid="{2C9C5378-07D1-4ECF-9D2B-EF50BCAFD723}"/>
    <cellStyle name="Normal 5 3 5 2 4 3" xfId="6065" xr:uid="{00000000-0005-0000-0000-0000711A0000}"/>
    <cellStyle name="Normal 5 3 5 2 4 3 2" xfId="15391" xr:uid="{3648CE39-3B11-49A7-A29E-17C0BFE99428}"/>
    <cellStyle name="Normal 5 3 5 2 4 4" xfId="11174" xr:uid="{80D6B4ED-C9BE-4D6F-8CE7-931637E02240}"/>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CAB4FD8C-6CD7-4845-B640-D269A0EF53FF}"/>
    <cellStyle name="Normal 5 3 5 2 5 2 3" xfId="13732" xr:uid="{C0C889A8-D7BD-42C8-B831-CCB0FE993966}"/>
    <cellStyle name="Normal 5 3 5 2 5 3" xfId="6478" xr:uid="{00000000-0005-0000-0000-0000751A0000}"/>
    <cellStyle name="Normal 5 3 5 2 5 3 2" xfId="15804" xr:uid="{C0D5A924-EF2E-4643-949F-A0314678F12E}"/>
    <cellStyle name="Normal 5 3 5 2 5 4" xfId="11587" xr:uid="{5DA3CCD7-DD91-43FF-BD96-E83BA950B7C7}"/>
    <cellStyle name="Normal 5 3 5 2 6" xfId="2608" xr:uid="{00000000-0005-0000-0000-0000761A0000}"/>
    <cellStyle name="Normal 5 3 5 2 6 2" xfId="6891" xr:uid="{00000000-0005-0000-0000-0000771A0000}"/>
    <cellStyle name="Normal 5 3 5 2 6 2 2" xfId="16217" xr:uid="{0B78F261-4E86-44DB-AB35-9447DE4C7508}"/>
    <cellStyle name="Normal 5 3 5 2 6 3" xfId="12000" xr:uid="{042B9F29-AABA-48EA-9B0A-320B5738C6BD}"/>
    <cellStyle name="Normal 5 3 5 2 7" xfId="4826" xr:uid="{00000000-0005-0000-0000-0000781A0000}"/>
    <cellStyle name="Normal 5 3 5 2 7 2" xfId="14152" xr:uid="{B709FC55-8F58-457B-A9EE-27F817DBC811}"/>
    <cellStyle name="Normal 5 3 5 2 8" xfId="9060" xr:uid="{D76124DC-5753-46E4-97E7-1D76E6E20EEE}"/>
    <cellStyle name="Normal 5 3 5 2 8 2" xfId="18384" xr:uid="{77FD9551-884C-4CAC-8644-A162E015A0A8}"/>
    <cellStyle name="Normal 5 3 5 2 9" xfId="9935" xr:uid="{C5C9A472-7095-4F77-A634-C78108524771}"/>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FA591F6F-6963-4FB5-967A-4524003A66E3}"/>
    <cellStyle name="Normal 5 3 5 3 2 3" xfId="12492" xr:uid="{AC11A0CC-A087-42A8-A080-8BDF8F7DA829}"/>
    <cellStyle name="Normal 5 3 5 3 3" xfId="5238" xr:uid="{00000000-0005-0000-0000-00007C1A0000}"/>
    <cellStyle name="Normal 5 3 5 3 3 2" xfId="14564" xr:uid="{DEA7DAB8-2283-45D2-BD43-991E29FDD8CB}"/>
    <cellStyle name="Normal 5 3 5 3 4" xfId="9278" xr:uid="{6197750A-97CA-41EF-A67C-63E25EE58E9E}"/>
    <cellStyle name="Normal 5 3 5 3 4 2" xfId="18593" xr:uid="{7DD178BE-3C32-4DCD-A2EF-FC96B937F89D}"/>
    <cellStyle name="Normal 5 3 5 3 5" xfId="10347" xr:uid="{6F6449C6-7A92-4475-984E-7005F01A6C2A}"/>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CE1240D1-42B9-408D-AB4E-F171E3E0B426}"/>
    <cellStyle name="Normal 5 3 5 4 2 3" xfId="12905" xr:uid="{145EBD98-242F-4644-AB9F-87020845BDC4}"/>
    <cellStyle name="Normal 5 3 5 4 3" xfId="5651" xr:uid="{00000000-0005-0000-0000-0000801A0000}"/>
    <cellStyle name="Normal 5 3 5 4 3 2" xfId="14977" xr:uid="{2D06FA7B-D3D8-4E28-A73E-7FA82013A71D}"/>
    <cellStyle name="Normal 5 3 5 4 4" xfId="10760" xr:uid="{602EB377-1E99-43EF-9778-362FD9A46602}"/>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96136E4A-6425-4964-AF1B-EF1A25FFCE85}"/>
    <cellStyle name="Normal 5 3 5 5 2 3" xfId="13318" xr:uid="{EB35D988-37AA-4E78-8BF9-7ECFC51A3615}"/>
    <cellStyle name="Normal 5 3 5 5 3" xfId="6064" xr:uid="{00000000-0005-0000-0000-0000841A0000}"/>
    <cellStyle name="Normal 5 3 5 5 3 2" xfId="15390" xr:uid="{84E47FF2-071A-4C3C-934B-8102935655D3}"/>
    <cellStyle name="Normal 5 3 5 5 4" xfId="11173" xr:uid="{CC46B303-5064-4341-AF9C-D484F41A989B}"/>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358CDD38-1DB3-4C53-9292-59E6F4F05884}"/>
    <cellStyle name="Normal 5 3 5 6 2 3" xfId="13731" xr:uid="{08F80FEB-1CEB-4B79-B9D3-23D0666E0847}"/>
    <cellStyle name="Normal 5 3 5 6 3" xfId="6477" xr:uid="{00000000-0005-0000-0000-0000881A0000}"/>
    <cellStyle name="Normal 5 3 5 6 3 2" xfId="15803" xr:uid="{C0407391-54BB-4BEA-9590-16ECEBCD1AC2}"/>
    <cellStyle name="Normal 5 3 5 6 4" xfId="11586" xr:uid="{5A8F8B89-701F-4C6F-B91B-4CF3AB5C9056}"/>
    <cellStyle name="Normal 5 3 5 7" xfId="2607" xr:uid="{00000000-0005-0000-0000-0000891A0000}"/>
    <cellStyle name="Normal 5 3 5 7 2" xfId="6890" xr:uid="{00000000-0005-0000-0000-00008A1A0000}"/>
    <cellStyle name="Normal 5 3 5 7 2 2" xfId="16216" xr:uid="{4C5E7FBD-1DD6-4982-B4D9-675553978AE6}"/>
    <cellStyle name="Normal 5 3 5 7 3" xfId="11999" xr:uid="{86004781-97B3-4A5F-B060-744467EFFC4A}"/>
    <cellStyle name="Normal 5 3 5 8" xfId="4825" xr:uid="{00000000-0005-0000-0000-00008B1A0000}"/>
    <cellStyle name="Normal 5 3 5 8 2" xfId="14151" xr:uid="{E71ADDDF-16A0-4349-9BD0-BF8743B8BF01}"/>
    <cellStyle name="Normal 5 3 5 9" xfId="8853" xr:uid="{049FA2CE-003F-47C1-A264-645323886F35}"/>
    <cellStyle name="Normal 5 3 5 9 2" xfId="18177" xr:uid="{BA7916C7-DCE9-41AC-AC0A-DA76803EDFE2}"/>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B199A992-6339-4519-9F33-51AA6A596C69}"/>
    <cellStyle name="Normal 5 3 6 2 2 3" xfId="12494" xr:uid="{4422B023-2F16-4691-8043-EB9CC97B10FE}"/>
    <cellStyle name="Normal 5 3 6 2 3" xfId="5240" xr:uid="{00000000-0005-0000-0000-0000901A0000}"/>
    <cellStyle name="Normal 5 3 6 2 3 2" xfId="14566" xr:uid="{F9EA8729-8DAF-4941-B2AB-BAB7A690597B}"/>
    <cellStyle name="Normal 5 3 6 2 4" xfId="9394" xr:uid="{040FDD8C-10C9-4583-9A6E-8F76047ECA0C}"/>
    <cellStyle name="Normal 5 3 6 2 4 2" xfId="18709" xr:uid="{4863B813-CE77-41CA-B49B-E04FFB54FCF9}"/>
    <cellStyle name="Normal 5 3 6 2 5" xfId="10349" xr:uid="{FCCA6457-B101-4E09-9A05-E37672145065}"/>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9A96EAB2-8A50-4E33-BA00-DD51EC5AC259}"/>
    <cellStyle name="Normal 5 3 6 3 2 3" xfId="12907" xr:uid="{FCE2FA93-E48C-42BD-986B-86158EE96E3A}"/>
    <cellStyle name="Normal 5 3 6 3 3" xfId="5653" xr:uid="{00000000-0005-0000-0000-0000941A0000}"/>
    <cellStyle name="Normal 5 3 6 3 3 2" xfId="14979" xr:uid="{6523FF36-561F-42B1-BD8C-1449623C2D6B}"/>
    <cellStyle name="Normal 5 3 6 3 4" xfId="10762" xr:uid="{6186C32D-E715-48AB-8614-54EB76FA0262}"/>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04CAF88A-6E9F-42BB-AEB9-42B698F7817F}"/>
    <cellStyle name="Normal 5 3 6 4 2 3" xfId="13320" xr:uid="{44FFEFC3-2181-413A-8C02-9CF6980A21CC}"/>
    <cellStyle name="Normal 5 3 6 4 3" xfId="6066" xr:uid="{00000000-0005-0000-0000-0000981A0000}"/>
    <cellStyle name="Normal 5 3 6 4 3 2" xfId="15392" xr:uid="{8FA3482E-0F06-4EBA-A755-EDAB6A5BE44D}"/>
    <cellStyle name="Normal 5 3 6 4 4" xfId="11175" xr:uid="{5827613B-7C52-4A90-88A9-BEEB6EFE480B}"/>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37950506-E0A5-479D-AE5B-85EFD55B06C4}"/>
    <cellStyle name="Normal 5 3 6 5 2 3" xfId="13733" xr:uid="{E38D86EF-0B9B-40FA-988A-6D45A51205D1}"/>
    <cellStyle name="Normal 5 3 6 5 3" xfId="6479" xr:uid="{00000000-0005-0000-0000-00009C1A0000}"/>
    <cellStyle name="Normal 5 3 6 5 3 2" xfId="15805" xr:uid="{B5FDAE9B-014D-4F2A-AD14-111034737FBD}"/>
    <cellStyle name="Normal 5 3 6 5 4" xfId="11588" xr:uid="{6D3E4662-DCC8-4BF9-B381-1B25A373DA76}"/>
    <cellStyle name="Normal 5 3 6 6" xfId="2609" xr:uid="{00000000-0005-0000-0000-00009D1A0000}"/>
    <cellStyle name="Normal 5 3 6 6 2" xfId="6892" xr:uid="{00000000-0005-0000-0000-00009E1A0000}"/>
    <cellStyle name="Normal 5 3 6 6 2 2" xfId="16218" xr:uid="{6F501EDD-F7EF-49B3-B3CE-28828B20D462}"/>
    <cellStyle name="Normal 5 3 6 6 3" xfId="12001" xr:uid="{1AE5F579-DA08-4CD9-96BF-225F72BAF392}"/>
    <cellStyle name="Normal 5 3 6 7" xfId="4827" xr:uid="{00000000-0005-0000-0000-00009F1A0000}"/>
    <cellStyle name="Normal 5 3 6 7 2" xfId="14153" xr:uid="{61D11062-8128-42ED-A450-737272337A84}"/>
    <cellStyle name="Normal 5 3 6 8" xfId="8969" xr:uid="{FA7ABEAF-BFEA-4D3E-A53B-E23F3117BFD8}"/>
    <cellStyle name="Normal 5 3 6 8 2" xfId="18293" xr:uid="{05B7D7B2-9B98-4248-88BE-0CF1B794A335}"/>
    <cellStyle name="Normal 5 3 6 9" xfId="9936" xr:uid="{A9CDBBD1-F373-4A19-BF63-E13BFA60BDAE}"/>
    <cellStyle name="Normal 5 3 7" xfId="913" xr:uid="{00000000-0005-0000-0000-0000A01A0000}"/>
    <cellStyle name="Normal 5 3 7 2" xfId="3148" xr:uid="{00000000-0005-0000-0000-0000A11A0000}"/>
    <cellStyle name="Normal 5 3 7 2 2" xfId="7370" xr:uid="{00000000-0005-0000-0000-0000A21A0000}"/>
    <cellStyle name="Normal 5 3 7 2 2 2" xfId="16696" xr:uid="{B77739AB-4D7E-4EA8-81B7-E99317E44C62}"/>
    <cellStyle name="Normal 5 3 7 2 3" xfId="12479" xr:uid="{066F88BB-D2D6-4EE7-8543-58EF22EE9A6E}"/>
    <cellStyle name="Normal 5 3 7 3" xfId="5225" xr:uid="{00000000-0005-0000-0000-0000A31A0000}"/>
    <cellStyle name="Normal 5 3 7 3 2" xfId="14551" xr:uid="{CC47E83C-6276-48E7-96CE-8A2E6C553744}"/>
    <cellStyle name="Normal 5 3 7 4" xfId="9172" xr:uid="{5609ABAF-B913-41DD-9CCE-B28C6A880815}"/>
    <cellStyle name="Normal 5 3 7 4 2" xfId="18490" xr:uid="{805A5F89-73ED-418C-BCBB-6B9812B023FD}"/>
    <cellStyle name="Normal 5 3 7 5" xfId="10334" xr:uid="{4A2F097C-A47C-4FD9-8100-C65FB8776E16}"/>
    <cellStyle name="Normal 5 3 8" xfId="1331" xr:uid="{00000000-0005-0000-0000-0000A41A0000}"/>
    <cellStyle name="Normal 5 3 8 2" xfId="3561" xr:uid="{00000000-0005-0000-0000-0000A51A0000}"/>
    <cellStyle name="Normal 5 3 8 2 2" xfId="7783" xr:uid="{00000000-0005-0000-0000-0000A61A0000}"/>
    <cellStyle name="Normal 5 3 8 2 2 2" xfId="17109" xr:uid="{97C35973-9657-4DD6-9F72-979FCCE4D60E}"/>
    <cellStyle name="Normal 5 3 8 2 3" xfId="12892" xr:uid="{48FE6C8A-0AEF-4A26-BE97-F3F76FBF343D}"/>
    <cellStyle name="Normal 5 3 8 3" xfId="5638" xr:uid="{00000000-0005-0000-0000-0000A71A0000}"/>
    <cellStyle name="Normal 5 3 8 3 2" xfId="14964" xr:uid="{308ABF34-781B-48E9-8D37-42371DA4A22B}"/>
    <cellStyle name="Normal 5 3 8 4" xfId="10747" xr:uid="{886C4E6C-7C59-4807-B502-A06A4357FCD7}"/>
    <cellStyle name="Normal 5 3 9" xfId="1744" xr:uid="{00000000-0005-0000-0000-0000A81A0000}"/>
    <cellStyle name="Normal 5 3 9 2" xfId="3974" xr:uid="{00000000-0005-0000-0000-0000A91A0000}"/>
    <cellStyle name="Normal 5 3 9 2 2" xfId="8196" xr:uid="{00000000-0005-0000-0000-0000AA1A0000}"/>
    <cellStyle name="Normal 5 3 9 2 2 2" xfId="17522" xr:uid="{3ADE066F-0691-4E2B-89EE-99CC4685613B}"/>
    <cellStyle name="Normal 5 3 9 2 3" xfId="13305" xr:uid="{FBA0C913-F7A6-4980-B55C-9C694DD88DB7}"/>
    <cellStyle name="Normal 5 3 9 3" xfId="6051" xr:uid="{00000000-0005-0000-0000-0000AB1A0000}"/>
    <cellStyle name="Normal 5 3 9 3 2" xfId="15377" xr:uid="{E2C3A9FD-A5FA-40FA-997B-A413F7B59FED}"/>
    <cellStyle name="Normal 5 3 9 4" xfId="11160" xr:uid="{4B8D17DB-F810-4855-87D9-DDAEDD453C4B}"/>
    <cellStyle name="Normal 5 4" xfId="456" xr:uid="{00000000-0005-0000-0000-0000AC1A0000}"/>
    <cellStyle name="Normal 5 4 10" xfId="4828" xr:uid="{00000000-0005-0000-0000-0000AD1A0000}"/>
    <cellStyle name="Normal 5 4 10 2" xfId="14154" xr:uid="{19CDDC6C-31C8-4DC2-BFE1-8FD78AA5B66C}"/>
    <cellStyle name="Normal 5 4 11" xfId="8773" xr:uid="{50472F80-32FD-428C-B078-8DE338D6CA16}"/>
    <cellStyle name="Normal 5 4 11 2" xfId="18097" xr:uid="{E9820D6F-47A9-44AE-AAA2-FDCBB9089027}"/>
    <cellStyle name="Normal 5 4 12" xfId="9937" xr:uid="{DDC3C939-E85B-451C-951C-BB280AC6E8FD}"/>
    <cellStyle name="Normal 5 4 2" xfId="457" xr:uid="{00000000-0005-0000-0000-0000AE1A0000}"/>
    <cellStyle name="Normal 5 4 2 10" xfId="8833" xr:uid="{6EA55230-8E5B-4EF6-B83C-8DF4202F8C31}"/>
    <cellStyle name="Normal 5 4 2 10 2" xfId="18157" xr:uid="{33555718-2D19-4AC0-AC61-9F1458AEE151}"/>
    <cellStyle name="Normal 5 4 2 11" xfId="9938" xr:uid="{A964A20F-EFB5-4908-A984-7EA0D549DDE6}"/>
    <cellStyle name="Normal 5 4 2 2" xfId="458" xr:uid="{00000000-0005-0000-0000-0000AF1A0000}"/>
    <cellStyle name="Normal 5 4 2 2 10" xfId="9939" xr:uid="{A905AD59-48AA-4A4B-BBEB-7326B37D965F}"/>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70AAD58D-C1E8-497E-97A9-04888D900823}"/>
    <cellStyle name="Normal 5 4 2 2 2 2 2 3" xfId="12498" xr:uid="{88139255-7F0F-49B2-A9A9-8F4C27E8B0A8}"/>
    <cellStyle name="Normal 5 4 2 2 2 2 3" xfId="5244" xr:uid="{00000000-0005-0000-0000-0000B41A0000}"/>
    <cellStyle name="Normal 5 4 2 2 2 2 3 2" xfId="14570" xr:uid="{341E53A8-4375-43F9-A359-EA7BD37CC778}"/>
    <cellStyle name="Normal 5 4 2 2 2 2 4" xfId="9568" xr:uid="{C9922021-D284-4633-BD4E-F2DB1197482A}"/>
    <cellStyle name="Normal 5 4 2 2 2 2 4 2" xfId="18883" xr:uid="{E29DC8E5-BD89-4461-925E-4835D2BEBBE9}"/>
    <cellStyle name="Normal 5 4 2 2 2 2 5" xfId="10353" xr:uid="{6857145F-FE91-4B68-8D02-B115C772D66F}"/>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B35A6451-5CB4-4DC8-8B26-BB3D4826E907}"/>
    <cellStyle name="Normal 5 4 2 2 2 3 2 3" xfId="12911" xr:uid="{00899ED9-D428-4DF1-9340-DAF49CCAAE00}"/>
    <cellStyle name="Normal 5 4 2 2 2 3 3" xfId="5657" xr:uid="{00000000-0005-0000-0000-0000B81A0000}"/>
    <cellStyle name="Normal 5 4 2 2 2 3 3 2" xfId="14983" xr:uid="{5B54F066-4FE1-4F90-8BE2-66EBED8FAF9D}"/>
    <cellStyle name="Normal 5 4 2 2 2 3 4" xfId="10766" xr:uid="{5E6A11E6-BA60-493F-AD45-17134F983334}"/>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18F1D161-CD59-4FFF-BA97-28AAB9C0E4F4}"/>
    <cellStyle name="Normal 5 4 2 2 2 4 2 3" xfId="13324" xr:uid="{C23C80E5-2133-46C7-A36B-D110C7AB54A6}"/>
    <cellStyle name="Normal 5 4 2 2 2 4 3" xfId="6070" xr:uid="{00000000-0005-0000-0000-0000BC1A0000}"/>
    <cellStyle name="Normal 5 4 2 2 2 4 3 2" xfId="15396" xr:uid="{FF01E5E3-D443-47AF-B57F-5F1CD6EF2DB3}"/>
    <cellStyle name="Normal 5 4 2 2 2 4 4" xfId="11179" xr:uid="{3396A887-820D-42D2-B286-7689C3AE05DD}"/>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6E9A5952-B750-498A-8B15-F0F1139FBE68}"/>
    <cellStyle name="Normal 5 4 2 2 2 5 2 3" xfId="13737" xr:uid="{77D06D7D-D0F6-42BC-996E-D77AF881F746}"/>
    <cellStyle name="Normal 5 4 2 2 2 5 3" xfId="6483" xr:uid="{00000000-0005-0000-0000-0000C01A0000}"/>
    <cellStyle name="Normal 5 4 2 2 2 5 3 2" xfId="15809" xr:uid="{4178AA0D-99BC-40BF-BC45-38E52ECFDC3B}"/>
    <cellStyle name="Normal 5 4 2 2 2 5 4" xfId="11592" xr:uid="{2B0B849E-69B9-490C-8677-87C52A8B69D6}"/>
    <cellStyle name="Normal 5 4 2 2 2 6" xfId="2613" xr:uid="{00000000-0005-0000-0000-0000C11A0000}"/>
    <cellStyle name="Normal 5 4 2 2 2 6 2" xfId="6896" xr:uid="{00000000-0005-0000-0000-0000C21A0000}"/>
    <cellStyle name="Normal 5 4 2 2 2 6 2 2" xfId="16222" xr:uid="{BA7CE15E-1367-458A-B18C-C7C4FA953040}"/>
    <cellStyle name="Normal 5 4 2 2 2 6 3" xfId="12005" xr:uid="{FFFB2A02-ECFD-4D03-9C1E-7FD2AF97E98B}"/>
    <cellStyle name="Normal 5 4 2 2 2 7" xfId="4831" xr:uid="{00000000-0005-0000-0000-0000C31A0000}"/>
    <cellStyle name="Normal 5 4 2 2 2 7 2" xfId="14157" xr:uid="{4049B11B-C4E5-4B14-A3A4-C51110918DA2}"/>
    <cellStyle name="Normal 5 4 2 2 2 8" xfId="9143" xr:uid="{C8F15FA9-FDFE-4358-95A8-17B14299B14C}"/>
    <cellStyle name="Normal 5 4 2 2 2 8 2" xfId="18467" xr:uid="{4A86A5C5-3A47-4D31-8520-E28399D5E878}"/>
    <cellStyle name="Normal 5 4 2 2 2 9" xfId="9940" xr:uid="{AC3EBB94-3675-4829-924E-9C0D98C8A2FD}"/>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2F3F5EDE-2714-4C81-98C7-0EA486FFF5F1}"/>
    <cellStyle name="Normal 5 4 2 2 3 2 3" xfId="12497" xr:uid="{A0D3EB73-2FC5-4225-A285-015D7D2891F8}"/>
    <cellStyle name="Normal 5 4 2 2 3 3" xfId="5243" xr:uid="{00000000-0005-0000-0000-0000C71A0000}"/>
    <cellStyle name="Normal 5 4 2 2 3 3 2" xfId="14569" xr:uid="{CA7C5FF1-B706-49E0-9069-CE1D93692F48}"/>
    <cellStyle name="Normal 5 4 2 2 3 4" xfId="9361" xr:uid="{421F0FC8-8E8F-498F-BD31-B00CB58D5B43}"/>
    <cellStyle name="Normal 5 4 2 2 3 4 2" xfId="18676" xr:uid="{24F53675-E91B-4505-9E0B-6BA9D8C09C67}"/>
    <cellStyle name="Normal 5 4 2 2 3 5" xfId="10352" xr:uid="{1FFBB627-A1C1-48E0-B424-FEB99DE1BBC6}"/>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B3EB5AE0-70C0-4BC1-BBFC-2255CE5EE7BB}"/>
    <cellStyle name="Normal 5 4 2 2 4 2 3" xfId="12910" xr:uid="{F0967D30-3020-4657-ABD4-6BC141ED3955}"/>
    <cellStyle name="Normal 5 4 2 2 4 3" xfId="5656" xr:uid="{00000000-0005-0000-0000-0000CB1A0000}"/>
    <cellStyle name="Normal 5 4 2 2 4 3 2" xfId="14982" xr:uid="{25F76300-2719-430B-9F84-A96B1D896D81}"/>
    <cellStyle name="Normal 5 4 2 2 4 4" xfId="10765" xr:uid="{DA61823F-22D3-4F78-86A6-F35457F97A71}"/>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F7AC8E32-C7C2-441A-B983-8B35D6C442AC}"/>
    <cellStyle name="Normal 5 4 2 2 5 2 3" xfId="13323" xr:uid="{8921A8CF-53CE-4275-A303-49819C4C71D6}"/>
    <cellStyle name="Normal 5 4 2 2 5 3" xfId="6069" xr:uid="{00000000-0005-0000-0000-0000CF1A0000}"/>
    <cellStyle name="Normal 5 4 2 2 5 3 2" xfId="15395" xr:uid="{B8CB386D-434F-4E69-88B7-5BB95E3F764C}"/>
    <cellStyle name="Normal 5 4 2 2 5 4" xfId="11178" xr:uid="{4EAEDACB-89C5-4937-8582-37CB820AD6B9}"/>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5A22EC04-D25F-4EE9-8E46-A475F63C312C}"/>
    <cellStyle name="Normal 5 4 2 2 6 2 3" xfId="13736" xr:uid="{00F33C47-A99F-4D0D-9349-979B21EA69DD}"/>
    <cellStyle name="Normal 5 4 2 2 6 3" xfId="6482" xr:uid="{00000000-0005-0000-0000-0000D31A0000}"/>
    <cellStyle name="Normal 5 4 2 2 6 3 2" xfId="15808" xr:uid="{C79A7EF3-AE4B-4028-B627-E1055771227A}"/>
    <cellStyle name="Normal 5 4 2 2 6 4" xfId="11591" xr:uid="{AF6B61E0-E093-4828-A433-B3895CD56C8E}"/>
    <cellStyle name="Normal 5 4 2 2 7" xfId="2612" xr:uid="{00000000-0005-0000-0000-0000D41A0000}"/>
    <cellStyle name="Normal 5 4 2 2 7 2" xfId="6895" xr:uid="{00000000-0005-0000-0000-0000D51A0000}"/>
    <cellStyle name="Normal 5 4 2 2 7 2 2" xfId="16221" xr:uid="{B668197E-82D0-4C62-9486-BD091890839E}"/>
    <cellStyle name="Normal 5 4 2 2 7 3" xfId="12004" xr:uid="{A2DA3447-7CA8-4C71-BE57-98BCC3DFAF11}"/>
    <cellStyle name="Normal 5 4 2 2 8" xfId="4830" xr:uid="{00000000-0005-0000-0000-0000D61A0000}"/>
    <cellStyle name="Normal 5 4 2 2 8 2" xfId="14156" xr:uid="{E2D09E00-0BC2-469B-B70B-67D520D2C5F5}"/>
    <cellStyle name="Normal 5 4 2 2 9" xfId="8936" xr:uid="{31CF7A09-919D-40D2-B5FD-098CEA44D314}"/>
    <cellStyle name="Normal 5 4 2 2 9 2" xfId="18260" xr:uid="{016468D0-4FBB-4B2F-B488-918A29BFDDF1}"/>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ACB049F6-7AE6-476A-9AF2-E4DCEB40E2EF}"/>
    <cellStyle name="Normal 5 4 2 3 2 2 3" xfId="12499" xr:uid="{951FA0C2-5308-40EF-BE8E-62A871C6C14A}"/>
    <cellStyle name="Normal 5 4 2 3 2 3" xfId="5245" xr:uid="{00000000-0005-0000-0000-0000DB1A0000}"/>
    <cellStyle name="Normal 5 4 2 3 2 3 2" xfId="14571" xr:uid="{83B0877E-50E2-437C-9907-8CF639FEBB4B}"/>
    <cellStyle name="Normal 5 4 2 3 2 4" xfId="9465" xr:uid="{B8459C73-266B-467B-A163-FFDFF015A460}"/>
    <cellStyle name="Normal 5 4 2 3 2 4 2" xfId="18780" xr:uid="{3A7ED16E-A603-49A1-897F-241C9D7927D2}"/>
    <cellStyle name="Normal 5 4 2 3 2 5" xfId="10354" xr:uid="{81F790F8-E891-49CD-9CC5-5670109669B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61CFBBBC-FDF8-4C22-A964-34F1FABEC275}"/>
    <cellStyle name="Normal 5 4 2 3 3 2 3" xfId="12912" xr:uid="{5765F8C9-4DEE-4F00-BE84-C4C8B14B152E}"/>
    <cellStyle name="Normal 5 4 2 3 3 3" xfId="5658" xr:uid="{00000000-0005-0000-0000-0000DF1A0000}"/>
    <cellStyle name="Normal 5 4 2 3 3 3 2" xfId="14984" xr:uid="{0430BB97-DFAC-431F-9C25-CAA7D4140BC1}"/>
    <cellStyle name="Normal 5 4 2 3 3 4" xfId="10767" xr:uid="{B614A3A5-46D4-4EDC-B932-F5147CCC0B3A}"/>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5DD490D2-0D64-48E6-9FD9-97A3EAE3C6D8}"/>
    <cellStyle name="Normal 5 4 2 3 4 2 3" xfId="13325" xr:uid="{A8C28CD7-7033-484E-829B-1AF616DF71EC}"/>
    <cellStyle name="Normal 5 4 2 3 4 3" xfId="6071" xr:uid="{00000000-0005-0000-0000-0000E31A0000}"/>
    <cellStyle name="Normal 5 4 2 3 4 3 2" xfId="15397" xr:uid="{86084EAA-347C-401C-8BD1-40690C5BA127}"/>
    <cellStyle name="Normal 5 4 2 3 4 4" xfId="11180" xr:uid="{E91D046E-4660-4DEB-8D8D-16708997FBC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59AEB25E-BDC5-42ED-B121-7EF2EC8625C5}"/>
    <cellStyle name="Normal 5 4 2 3 5 2 3" xfId="13738" xr:uid="{C90D9478-7B87-497D-808A-144EE3C56E40}"/>
    <cellStyle name="Normal 5 4 2 3 5 3" xfId="6484" xr:uid="{00000000-0005-0000-0000-0000E71A0000}"/>
    <cellStyle name="Normal 5 4 2 3 5 3 2" xfId="15810" xr:uid="{D2CF9736-070C-4277-B79D-F5D54C24A734}"/>
    <cellStyle name="Normal 5 4 2 3 5 4" xfId="11593" xr:uid="{C9E91DD4-EB6C-4A0C-909F-08DC43A4BB9F}"/>
    <cellStyle name="Normal 5 4 2 3 6" xfId="2614" xr:uid="{00000000-0005-0000-0000-0000E81A0000}"/>
    <cellStyle name="Normal 5 4 2 3 6 2" xfId="6897" xr:uid="{00000000-0005-0000-0000-0000E91A0000}"/>
    <cellStyle name="Normal 5 4 2 3 6 2 2" xfId="16223" xr:uid="{557CA476-EA6E-4544-9FFC-1C9B9787BD97}"/>
    <cellStyle name="Normal 5 4 2 3 6 3" xfId="12006" xr:uid="{E530E625-1A8C-4A92-9753-D8E13BE6B5A2}"/>
    <cellStyle name="Normal 5 4 2 3 7" xfId="4832" xr:uid="{00000000-0005-0000-0000-0000EA1A0000}"/>
    <cellStyle name="Normal 5 4 2 3 7 2" xfId="14158" xr:uid="{9FBC0EE8-AF6E-4E71-9E49-C03F5FF82638}"/>
    <cellStyle name="Normal 5 4 2 3 8" xfId="9040" xr:uid="{D68CAB17-BB41-4D9B-AA76-76FE511392DC}"/>
    <cellStyle name="Normal 5 4 2 3 8 2" xfId="18364" xr:uid="{07FA99DE-D308-4692-A458-6759FEB610B7}"/>
    <cellStyle name="Normal 5 4 2 3 9" xfId="9941" xr:uid="{A04D7D7E-9523-48B8-85B7-3DD978A060AB}"/>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E44876DF-9AEE-4441-8236-6E9DE007D69A}"/>
    <cellStyle name="Normal 5 4 2 4 2 3" xfId="12496" xr:uid="{D560BAE8-FEF3-4CF0-8C86-2F4695B73836}"/>
    <cellStyle name="Normal 5 4 2 4 3" xfId="5242" xr:uid="{00000000-0005-0000-0000-0000EE1A0000}"/>
    <cellStyle name="Normal 5 4 2 4 3 2" xfId="14568" xr:uid="{430FF1ED-9749-4A7B-88CD-4E104B965E53}"/>
    <cellStyle name="Normal 5 4 2 4 4" xfId="9258" xr:uid="{971C48A9-8200-405B-A9BE-B3AFD2CDDA76}"/>
    <cellStyle name="Normal 5 4 2 4 4 2" xfId="18573" xr:uid="{4F723F74-3619-4E01-90A7-45BD74B7FA9E}"/>
    <cellStyle name="Normal 5 4 2 4 5" xfId="10351" xr:uid="{B1861149-A404-40BA-AF8C-7707A90D973E}"/>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AC206816-006F-4E3B-9AC9-868B777BFF67}"/>
    <cellStyle name="Normal 5 4 2 5 2 3" xfId="12909" xr:uid="{00B99543-D844-470E-97AE-CF378E480198}"/>
    <cellStyle name="Normal 5 4 2 5 3" xfId="5655" xr:uid="{00000000-0005-0000-0000-0000F21A0000}"/>
    <cellStyle name="Normal 5 4 2 5 3 2" xfId="14981" xr:uid="{FD856E69-38AE-4A43-9F34-D98A9865A96E}"/>
    <cellStyle name="Normal 5 4 2 5 4" xfId="10764" xr:uid="{E6D1A795-5338-4558-B400-81FFA610615B}"/>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B0B716CC-88BE-4561-A503-045BA5AE833E}"/>
    <cellStyle name="Normal 5 4 2 6 2 3" xfId="13322" xr:uid="{864D3353-DD13-4CC8-B06F-2577011F00C5}"/>
    <cellStyle name="Normal 5 4 2 6 3" xfId="6068" xr:uid="{00000000-0005-0000-0000-0000F61A0000}"/>
    <cellStyle name="Normal 5 4 2 6 3 2" xfId="15394" xr:uid="{C1502BF4-ED52-40F3-8610-17F00FF50110}"/>
    <cellStyle name="Normal 5 4 2 6 4" xfId="11177" xr:uid="{513961B0-3198-4B4E-8B82-4F2EEAFEAFC9}"/>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D7348625-9543-4FB1-81B2-F64C13EDC17A}"/>
    <cellStyle name="Normal 5 4 2 7 2 3" xfId="13735" xr:uid="{2945A475-0929-4424-BE19-852E9038647C}"/>
    <cellStyle name="Normal 5 4 2 7 3" xfId="6481" xr:uid="{00000000-0005-0000-0000-0000FA1A0000}"/>
    <cellStyle name="Normal 5 4 2 7 3 2" xfId="15807" xr:uid="{B88B3DA5-877F-4933-AE33-50DEFA9C9196}"/>
    <cellStyle name="Normal 5 4 2 7 4" xfId="11590" xr:uid="{20B06AA8-B43C-4A0C-9E71-455D6346486F}"/>
    <cellStyle name="Normal 5 4 2 8" xfId="2611" xr:uid="{00000000-0005-0000-0000-0000FB1A0000}"/>
    <cellStyle name="Normal 5 4 2 8 2" xfId="6894" xr:uid="{00000000-0005-0000-0000-0000FC1A0000}"/>
    <cellStyle name="Normal 5 4 2 8 2 2" xfId="16220" xr:uid="{005FA039-D9BE-488B-A9BD-9EBD5D90FCE8}"/>
    <cellStyle name="Normal 5 4 2 8 3" xfId="12003" xr:uid="{305C83EB-F756-4E8A-B913-8D8CD920C74A}"/>
    <cellStyle name="Normal 5 4 2 9" xfId="4829" xr:uid="{00000000-0005-0000-0000-0000FD1A0000}"/>
    <cellStyle name="Normal 5 4 2 9 2" xfId="14155" xr:uid="{862B3794-8580-4CDC-A616-40AEEC216302}"/>
    <cellStyle name="Normal 5 4 3" xfId="461" xr:uid="{00000000-0005-0000-0000-0000FE1A0000}"/>
    <cellStyle name="Normal 5 4 3 10" xfId="9942" xr:uid="{925CC75E-2C04-476F-B71F-E77F561EBF96}"/>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94F15369-75AA-4189-9A62-35A7EE4662A3}"/>
    <cellStyle name="Normal 5 4 3 2 2 2 3" xfId="12501" xr:uid="{78DE04BF-1659-48A8-9C7B-121D36EB7239}"/>
    <cellStyle name="Normal 5 4 3 2 2 3" xfId="5247" xr:uid="{00000000-0005-0000-0000-0000031B0000}"/>
    <cellStyle name="Normal 5 4 3 2 2 3 2" xfId="14573" xr:uid="{B6278E1A-B6A0-405A-BABD-4AB15F91A223}"/>
    <cellStyle name="Normal 5 4 3 2 2 4" xfId="9508" xr:uid="{1F9B5A8F-2A45-43C5-9422-E8BC84424A55}"/>
    <cellStyle name="Normal 5 4 3 2 2 4 2" xfId="18823" xr:uid="{AC99D81E-A47F-4C49-9967-0268CF2792D1}"/>
    <cellStyle name="Normal 5 4 3 2 2 5" xfId="10356" xr:uid="{9F26A12B-D1DC-494F-9A85-34A92A45557A}"/>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D87FE1B1-9386-49C0-A55F-FB72AD2178EE}"/>
    <cellStyle name="Normal 5 4 3 2 3 2 3" xfId="12914" xr:uid="{CA84E9FF-F9C1-4EFB-978E-0CC633AF8AE5}"/>
    <cellStyle name="Normal 5 4 3 2 3 3" xfId="5660" xr:uid="{00000000-0005-0000-0000-0000071B0000}"/>
    <cellStyle name="Normal 5 4 3 2 3 3 2" xfId="14986" xr:uid="{7A1D7F9A-3980-4686-99AA-9C0B8FCD8D0A}"/>
    <cellStyle name="Normal 5 4 3 2 3 4" xfId="10769" xr:uid="{93D2A18F-C939-4F62-9C7E-C9070E9C5D80}"/>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6DC2A435-555E-45B7-A4AC-04DDE39CF926}"/>
    <cellStyle name="Normal 5 4 3 2 4 2 3" xfId="13327" xr:uid="{2F6A5F29-2AC4-4C46-8FC4-25D971982994}"/>
    <cellStyle name="Normal 5 4 3 2 4 3" xfId="6073" xr:uid="{00000000-0005-0000-0000-00000B1B0000}"/>
    <cellStyle name="Normal 5 4 3 2 4 3 2" xfId="15399" xr:uid="{B6E892B0-5B28-4A93-8747-16DC8FFAFEBB}"/>
    <cellStyle name="Normal 5 4 3 2 4 4" xfId="11182" xr:uid="{7A9CC618-EE73-400C-A52A-C30796BE42D2}"/>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48F25671-3579-4705-934D-992F8F09A7D4}"/>
    <cellStyle name="Normal 5 4 3 2 5 2 3" xfId="13740" xr:uid="{100CBE9D-75D9-4046-86BD-72B8CF5D01FB}"/>
    <cellStyle name="Normal 5 4 3 2 5 3" xfId="6486" xr:uid="{00000000-0005-0000-0000-00000F1B0000}"/>
    <cellStyle name="Normal 5 4 3 2 5 3 2" xfId="15812" xr:uid="{EB41E9FA-EFC3-45E9-B400-8DDFD7B7A672}"/>
    <cellStyle name="Normal 5 4 3 2 5 4" xfId="11595" xr:uid="{017EFDE3-E441-417A-8AAC-65990B35F8C2}"/>
    <cellStyle name="Normal 5 4 3 2 6" xfId="2616" xr:uid="{00000000-0005-0000-0000-0000101B0000}"/>
    <cellStyle name="Normal 5 4 3 2 6 2" xfId="6899" xr:uid="{00000000-0005-0000-0000-0000111B0000}"/>
    <cellStyle name="Normal 5 4 3 2 6 2 2" xfId="16225" xr:uid="{905CE015-CF32-4490-A20B-A6D269472892}"/>
    <cellStyle name="Normal 5 4 3 2 6 3" xfId="12008" xr:uid="{2A9F4034-3CE8-4676-AE2F-27573DD06675}"/>
    <cellStyle name="Normal 5 4 3 2 7" xfId="4834" xr:uid="{00000000-0005-0000-0000-0000121B0000}"/>
    <cellStyle name="Normal 5 4 3 2 7 2" xfId="14160" xr:uid="{9721004F-181B-4879-9E0F-18A168A1A0E2}"/>
    <cellStyle name="Normal 5 4 3 2 8" xfId="9083" xr:uid="{206384C8-6AD8-4D28-8F99-3033A80D68FC}"/>
    <cellStyle name="Normal 5 4 3 2 8 2" xfId="18407" xr:uid="{7C042366-0504-425B-B8BF-AEA23E3F7D14}"/>
    <cellStyle name="Normal 5 4 3 2 9" xfId="9943" xr:uid="{80386C6A-DAB4-4FFE-A5E3-8A8177EC08A6}"/>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95E2ACDD-5E41-4815-9349-527874E6B39D}"/>
    <cellStyle name="Normal 5 4 3 3 2 3" xfId="12500" xr:uid="{8856D3E5-6773-485F-9215-98187C6539D2}"/>
    <cellStyle name="Normal 5 4 3 3 3" xfId="5246" xr:uid="{00000000-0005-0000-0000-0000161B0000}"/>
    <cellStyle name="Normal 5 4 3 3 3 2" xfId="14572" xr:uid="{EAF16F7C-87CC-42DD-9945-28CF71C3AFC9}"/>
    <cellStyle name="Normal 5 4 3 3 4" xfId="9301" xr:uid="{CB02BBE7-2E3D-4C67-A62E-BA84DE882039}"/>
    <cellStyle name="Normal 5 4 3 3 4 2" xfId="18616" xr:uid="{ACE30826-2FBA-4DF4-8447-FEE364D6B1C0}"/>
    <cellStyle name="Normal 5 4 3 3 5" xfId="10355" xr:uid="{29D11AC4-1F9F-4341-8193-74319DFB249E}"/>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358F005C-7B83-4DD0-B224-174C6862AC04}"/>
    <cellStyle name="Normal 5 4 3 4 2 3" xfId="12913" xr:uid="{B3E89B9C-50A0-4F10-A4A9-258C3EDF6868}"/>
    <cellStyle name="Normal 5 4 3 4 3" xfId="5659" xr:uid="{00000000-0005-0000-0000-00001A1B0000}"/>
    <cellStyle name="Normal 5 4 3 4 3 2" xfId="14985" xr:uid="{77580EDD-3B7A-4AA3-B822-F296DB4F3C45}"/>
    <cellStyle name="Normal 5 4 3 4 4" xfId="10768" xr:uid="{58795731-DE72-441E-86D0-21610C69C85A}"/>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47978C52-0377-4325-8E18-FC319B3822FE}"/>
    <cellStyle name="Normal 5 4 3 5 2 3" xfId="13326" xr:uid="{A025B407-B220-4881-96A2-55CC5439F4CC}"/>
    <cellStyle name="Normal 5 4 3 5 3" xfId="6072" xr:uid="{00000000-0005-0000-0000-00001E1B0000}"/>
    <cellStyle name="Normal 5 4 3 5 3 2" xfId="15398" xr:uid="{17A509C2-F96B-4824-A33F-981343EADC38}"/>
    <cellStyle name="Normal 5 4 3 5 4" xfId="11181" xr:uid="{66C83738-7D25-4DD1-80F1-126C0950FBDD}"/>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C5C9B8E0-B2A2-433D-99A4-C8ECA205A7F7}"/>
    <cellStyle name="Normal 5 4 3 6 2 3" xfId="13739" xr:uid="{8FE5534B-8F59-435F-A14C-17D183C1D1E2}"/>
    <cellStyle name="Normal 5 4 3 6 3" xfId="6485" xr:uid="{00000000-0005-0000-0000-0000221B0000}"/>
    <cellStyle name="Normal 5 4 3 6 3 2" xfId="15811" xr:uid="{919F762B-6BE3-44D3-9F08-331A0E9E4E76}"/>
    <cellStyle name="Normal 5 4 3 6 4" xfId="11594" xr:uid="{444E07A3-4656-46A6-8AD7-7D4DD10C8CAA}"/>
    <cellStyle name="Normal 5 4 3 7" xfId="2615" xr:uid="{00000000-0005-0000-0000-0000231B0000}"/>
    <cellStyle name="Normal 5 4 3 7 2" xfId="6898" xr:uid="{00000000-0005-0000-0000-0000241B0000}"/>
    <cellStyle name="Normal 5 4 3 7 2 2" xfId="16224" xr:uid="{ADE9B0D8-B388-4AE1-96A7-64B194CA508D}"/>
    <cellStyle name="Normal 5 4 3 7 3" xfId="12007" xr:uid="{857E2B5F-2EC3-4B20-8B70-379BE72F80C8}"/>
    <cellStyle name="Normal 5 4 3 8" xfId="4833" xr:uid="{00000000-0005-0000-0000-0000251B0000}"/>
    <cellStyle name="Normal 5 4 3 8 2" xfId="14159" xr:uid="{796C0E70-3A45-4B5A-9D85-9ED2D0085EAD}"/>
    <cellStyle name="Normal 5 4 3 9" xfId="8876" xr:uid="{D636A598-175F-46A4-8005-1A20EC6CCEC9}"/>
    <cellStyle name="Normal 5 4 3 9 2" xfId="18200" xr:uid="{CAFFE679-DD0B-49CE-824D-CC5639BA393E}"/>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BCBD2728-75B0-4C00-955E-AEFC683FC3FB}"/>
    <cellStyle name="Normal 5 4 4 2 2 3" xfId="12502" xr:uid="{FF8C095F-D807-4C6F-9207-ED4EE166D6F0}"/>
    <cellStyle name="Normal 5 4 4 2 3" xfId="5248" xr:uid="{00000000-0005-0000-0000-00002A1B0000}"/>
    <cellStyle name="Normal 5 4 4 2 3 2" xfId="14574" xr:uid="{F47614F1-04C9-4D0F-8C0F-3295312B4780}"/>
    <cellStyle name="Normal 5 4 4 2 4" xfId="9405" xr:uid="{F05DE0DC-A0AA-4CEB-9ABC-0D70F781B819}"/>
    <cellStyle name="Normal 5 4 4 2 4 2" xfId="18720" xr:uid="{4CCF4AF0-3341-4900-AF7D-B6282491EBD7}"/>
    <cellStyle name="Normal 5 4 4 2 5" xfId="10357" xr:uid="{4CDAA8E0-9CF3-48A1-A5F8-6C901F56D70F}"/>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DD8B16E0-33F4-4A8C-8FAB-DF77F13A59CA}"/>
    <cellStyle name="Normal 5 4 4 3 2 3" xfId="12915" xr:uid="{E35E8140-8491-43C6-9AB3-F47327B4B41B}"/>
    <cellStyle name="Normal 5 4 4 3 3" xfId="5661" xr:uid="{00000000-0005-0000-0000-00002E1B0000}"/>
    <cellStyle name="Normal 5 4 4 3 3 2" xfId="14987" xr:uid="{ACE862B1-6FA0-435B-9A29-3B65C44F6ABB}"/>
    <cellStyle name="Normal 5 4 4 3 4" xfId="10770" xr:uid="{F957F0AC-34BC-447B-8AEA-7A750BF9808D}"/>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D092B440-3517-46C2-B635-AB7596698D7B}"/>
    <cellStyle name="Normal 5 4 4 4 2 3" xfId="13328" xr:uid="{A4250AC6-AE4F-49BC-8E10-3BAF9FC94B72}"/>
    <cellStyle name="Normal 5 4 4 4 3" xfId="6074" xr:uid="{00000000-0005-0000-0000-0000321B0000}"/>
    <cellStyle name="Normal 5 4 4 4 3 2" xfId="15400" xr:uid="{5EF0C95E-33A7-4806-B7A2-9B4524355A7D}"/>
    <cellStyle name="Normal 5 4 4 4 4" xfId="11183" xr:uid="{2959250E-4263-4780-8341-5CBEF23D7885}"/>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440ABFA4-C55D-4C78-BCD1-E437E4FDE36D}"/>
    <cellStyle name="Normal 5 4 4 5 2 3" xfId="13741" xr:uid="{AE0206BF-0DBB-4393-8D2B-1ADA289C224A}"/>
    <cellStyle name="Normal 5 4 4 5 3" xfId="6487" xr:uid="{00000000-0005-0000-0000-0000361B0000}"/>
    <cellStyle name="Normal 5 4 4 5 3 2" xfId="15813" xr:uid="{0DF2A37F-CD23-4450-A62E-5804EA7368F2}"/>
    <cellStyle name="Normal 5 4 4 5 4" xfId="11596" xr:uid="{8AAE87E0-6625-425F-97A9-4855C310C30C}"/>
    <cellStyle name="Normal 5 4 4 6" xfId="2617" xr:uid="{00000000-0005-0000-0000-0000371B0000}"/>
    <cellStyle name="Normal 5 4 4 6 2" xfId="6900" xr:uid="{00000000-0005-0000-0000-0000381B0000}"/>
    <cellStyle name="Normal 5 4 4 6 2 2" xfId="16226" xr:uid="{C2C263BA-B274-4BBB-AFCA-0D2B8821A8E5}"/>
    <cellStyle name="Normal 5 4 4 6 3" xfId="12009" xr:uid="{7F339FE9-6772-4FC9-89AD-A5DBABFC7E1B}"/>
    <cellStyle name="Normal 5 4 4 7" xfId="4835" xr:uid="{00000000-0005-0000-0000-0000391B0000}"/>
    <cellStyle name="Normal 5 4 4 7 2" xfId="14161" xr:uid="{CA818B56-FA22-40C6-A557-A6069780FF55}"/>
    <cellStyle name="Normal 5 4 4 8" xfId="8980" xr:uid="{B1DB48A4-94CB-4CC2-8D4B-8FD478363D48}"/>
    <cellStyle name="Normal 5 4 4 8 2" xfId="18304" xr:uid="{22DF6F98-67C8-40AB-9907-DB138E8002C5}"/>
    <cellStyle name="Normal 5 4 4 9" xfId="9944" xr:uid="{698C8436-0621-4230-BB3A-E3D8D3155EC8}"/>
    <cellStyle name="Normal 5 4 5" xfId="930" xr:uid="{00000000-0005-0000-0000-00003A1B0000}"/>
    <cellStyle name="Normal 5 4 5 2" xfId="3164" xr:uid="{00000000-0005-0000-0000-00003B1B0000}"/>
    <cellStyle name="Normal 5 4 5 2 2" xfId="7386" xr:uid="{00000000-0005-0000-0000-00003C1B0000}"/>
    <cellStyle name="Normal 5 4 5 2 2 2" xfId="16712" xr:uid="{59EEE149-0335-4E3A-A367-1AA7B3DAAF2D}"/>
    <cellStyle name="Normal 5 4 5 2 3" xfId="12495" xr:uid="{F3DD3C3C-3ECD-415D-9FB3-ECA3124AB229}"/>
    <cellStyle name="Normal 5 4 5 3" xfId="5241" xr:uid="{00000000-0005-0000-0000-00003D1B0000}"/>
    <cellStyle name="Normal 5 4 5 3 2" xfId="14567" xr:uid="{161646A0-1F53-4488-9184-36446FC752C3}"/>
    <cellStyle name="Normal 5 4 5 4" xfId="9197" xr:uid="{44FF0EFB-444B-4C40-B695-8C256ADB5563}"/>
    <cellStyle name="Normal 5 4 5 4 2" xfId="18513" xr:uid="{13FC944C-12A0-4281-816B-EF0864766E54}"/>
    <cellStyle name="Normal 5 4 5 5" xfId="10350" xr:uid="{1973F179-891A-4421-AEA5-D08E9C3B117C}"/>
    <cellStyle name="Normal 5 4 6" xfId="1347" xr:uid="{00000000-0005-0000-0000-00003E1B0000}"/>
    <cellStyle name="Normal 5 4 6 2" xfId="3577" xr:uid="{00000000-0005-0000-0000-00003F1B0000}"/>
    <cellStyle name="Normal 5 4 6 2 2" xfId="7799" xr:uid="{00000000-0005-0000-0000-0000401B0000}"/>
    <cellStyle name="Normal 5 4 6 2 2 2" xfId="17125" xr:uid="{2814F963-5F98-4003-B7D2-22F8FAE81087}"/>
    <cellStyle name="Normal 5 4 6 2 3" xfId="12908" xr:uid="{A7A2C6B8-0FDC-4907-BE63-EBBDCE7F2575}"/>
    <cellStyle name="Normal 5 4 6 3" xfId="5654" xr:uid="{00000000-0005-0000-0000-0000411B0000}"/>
    <cellStyle name="Normal 5 4 6 3 2" xfId="14980" xr:uid="{B8634639-E25F-4E14-95D8-58417C96B7B9}"/>
    <cellStyle name="Normal 5 4 6 4" xfId="10763" xr:uid="{39AC8AAC-B15E-438A-96CC-465752511808}"/>
    <cellStyle name="Normal 5 4 7" xfId="1760" xr:uid="{00000000-0005-0000-0000-0000421B0000}"/>
    <cellStyle name="Normal 5 4 7 2" xfId="3990" xr:uid="{00000000-0005-0000-0000-0000431B0000}"/>
    <cellStyle name="Normal 5 4 7 2 2" xfId="8212" xr:uid="{00000000-0005-0000-0000-0000441B0000}"/>
    <cellStyle name="Normal 5 4 7 2 2 2" xfId="17538" xr:uid="{68FE9DAE-B43F-41FF-A67E-031A8664F64C}"/>
    <cellStyle name="Normal 5 4 7 2 3" xfId="13321" xr:uid="{E6DCD043-0664-4989-BB0D-71A8E791882F}"/>
    <cellStyle name="Normal 5 4 7 3" xfId="6067" xr:uid="{00000000-0005-0000-0000-0000451B0000}"/>
    <cellStyle name="Normal 5 4 7 3 2" xfId="15393" xr:uid="{E095649F-7D88-49C8-8093-F2C72DF56D9D}"/>
    <cellStyle name="Normal 5 4 7 4" xfId="11176" xr:uid="{63235FF8-5B6C-4491-9E68-B371141E7B79}"/>
    <cellStyle name="Normal 5 4 8" xfId="2174" xr:uid="{00000000-0005-0000-0000-0000461B0000}"/>
    <cellStyle name="Normal 5 4 8 2" xfId="4403" xr:uid="{00000000-0005-0000-0000-0000471B0000}"/>
    <cellStyle name="Normal 5 4 8 2 2" xfId="8625" xr:uid="{00000000-0005-0000-0000-0000481B0000}"/>
    <cellStyle name="Normal 5 4 8 2 2 2" xfId="17951" xr:uid="{F4AB801F-C370-482F-A756-DE66986362AB}"/>
    <cellStyle name="Normal 5 4 8 2 3" xfId="13734" xr:uid="{F59F9BCA-3AC3-4F8B-9807-0CFB02E9A345}"/>
    <cellStyle name="Normal 5 4 8 3" xfId="6480" xr:uid="{00000000-0005-0000-0000-0000491B0000}"/>
    <cellStyle name="Normal 5 4 8 3 2" xfId="15806" xr:uid="{0E8946CF-031E-471A-81C7-C00909132103}"/>
    <cellStyle name="Normal 5 4 8 4" xfId="11589" xr:uid="{F1178993-339C-463E-BFF4-37A62F3FB28E}"/>
    <cellStyle name="Normal 5 4 9" xfId="2610" xr:uid="{00000000-0005-0000-0000-00004A1B0000}"/>
    <cellStyle name="Normal 5 4 9 2" xfId="6893" xr:uid="{00000000-0005-0000-0000-00004B1B0000}"/>
    <cellStyle name="Normal 5 4 9 2 2" xfId="16219" xr:uid="{ADBD2D4F-1F03-4249-82E2-D66C476E5CD8}"/>
    <cellStyle name="Normal 5 4 9 3" xfId="12002" xr:uid="{491BB7CC-CFB7-4563-A19E-78E53B8C4014}"/>
    <cellStyle name="Normal 5 5" xfId="464" xr:uid="{00000000-0005-0000-0000-00004C1B0000}"/>
    <cellStyle name="Normal 5 5 10" xfId="8826" xr:uid="{5746674A-546A-44BF-97FB-6D298BF3AD61}"/>
    <cellStyle name="Normal 5 5 10 2" xfId="18150" xr:uid="{7DB32D6A-733F-4ED4-A901-BF0CDF9E1D84}"/>
    <cellStyle name="Normal 5 5 11" xfId="9945" xr:uid="{ED8F33D5-0ED6-42AD-8B02-AF7E966CC2F4}"/>
    <cellStyle name="Normal 5 5 2" xfId="465" xr:uid="{00000000-0005-0000-0000-00004D1B0000}"/>
    <cellStyle name="Normal 5 5 2 10" xfId="9946" xr:uid="{E3FA253F-A833-43D0-936A-2924A2CECE81}"/>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FAA425E8-05F2-4D1B-BA66-A4487CA5FA97}"/>
    <cellStyle name="Normal 5 5 2 2 2 2 3" xfId="12505" xr:uid="{E4C6F209-4BDE-4333-A64E-560FD38E8B2A}"/>
    <cellStyle name="Normal 5 5 2 2 2 3" xfId="5251" xr:uid="{00000000-0005-0000-0000-0000521B0000}"/>
    <cellStyle name="Normal 5 5 2 2 2 3 2" xfId="14577" xr:uid="{701C8115-EF21-4C58-B2B8-5E594C66E772}"/>
    <cellStyle name="Normal 5 5 2 2 2 4" xfId="9561" xr:uid="{FF1EB4DD-E23E-4228-816B-D59B021F724D}"/>
    <cellStyle name="Normal 5 5 2 2 2 4 2" xfId="18876" xr:uid="{DCFDF9EB-E93C-4026-A039-2AB05E7B7434}"/>
    <cellStyle name="Normal 5 5 2 2 2 5" xfId="10360" xr:uid="{2031B29E-A052-41B9-B442-36061A2BB3FE}"/>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9BC278FB-FCAD-49CF-8513-B6302811F093}"/>
    <cellStyle name="Normal 5 5 2 2 3 2 3" xfId="12918" xr:uid="{68059C8F-A428-4736-9008-C20F982A3003}"/>
    <cellStyle name="Normal 5 5 2 2 3 3" xfId="5664" xr:uid="{00000000-0005-0000-0000-0000561B0000}"/>
    <cellStyle name="Normal 5 5 2 2 3 3 2" xfId="14990" xr:uid="{2F541BFC-581B-4276-82EF-D14804A9287B}"/>
    <cellStyle name="Normal 5 5 2 2 3 4" xfId="10773" xr:uid="{F2982E37-E59A-4CBB-B87B-51F47BD3430D}"/>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82C701BD-246C-4223-AD41-B91884C573FF}"/>
    <cellStyle name="Normal 5 5 2 2 4 2 3" xfId="13331" xr:uid="{89389A8D-13D0-41F2-9507-56169F0993CE}"/>
    <cellStyle name="Normal 5 5 2 2 4 3" xfId="6077" xr:uid="{00000000-0005-0000-0000-00005A1B0000}"/>
    <cellStyle name="Normal 5 5 2 2 4 3 2" xfId="15403" xr:uid="{90C2177A-96FE-41C4-934D-5E112AECE064}"/>
    <cellStyle name="Normal 5 5 2 2 4 4" xfId="11186" xr:uid="{676DC9DE-43AF-4AB2-8CBA-D110B710063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177E1050-2103-45BB-9EAA-7F1B51E188B6}"/>
    <cellStyle name="Normal 5 5 2 2 5 2 3" xfId="13744" xr:uid="{6F9881E0-8AE0-4896-ACCF-A068574A770E}"/>
    <cellStyle name="Normal 5 5 2 2 5 3" xfId="6490" xr:uid="{00000000-0005-0000-0000-00005E1B0000}"/>
    <cellStyle name="Normal 5 5 2 2 5 3 2" xfId="15816" xr:uid="{F3E263F2-8ED8-42B6-A2FC-CFBA2110A753}"/>
    <cellStyle name="Normal 5 5 2 2 5 4" xfId="11599" xr:uid="{B23BB1E9-16E3-461E-8F07-59DDDFA540B5}"/>
    <cellStyle name="Normal 5 5 2 2 6" xfId="2620" xr:uid="{00000000-0005-0000-0000-00005F1B0000}"/>
    <cellStyle name="Normal 5 5 2 2 6 2" xfId="6903" xr:uid="{00000000-0005-0000-0000-0000601B0000}"/>
    <cellStyle name="Normal 5 5 2 2 6 2 2" xfId="16229" xr:uid="{D49C4F9B-BEE8-4E8E-B000-58D964C93778}"/>
    <cellStyle name="Normal 5 5 2 2 6 3" xfId="12012" xr:uid="{1A3B5787-88FA-4B48-A841-11119591DAE0}"/>
    <cellStyle name="Normal 5 5 2 2 7" xfId="4838" xr:uid="{00000000-0005-0000-0000-0000611B0000}"/>
    <cellStyle name="Normal 5 5 2 2 7 2" xfId="14164" xr:uid="{15D8DC43-65EE-4817-AE7B-9D655D1DCA90}"/>
    <cellStyle name="Normal 5 5 2 2 8" xfId="9136" xr:uid="{D41453B5-3BE6-4F01-B336-45A274529844}"/>
    <cellStyle name="Normal 5 5 2 2 8 2" xfId="18460" xr:uid="{F73ACC6F-FE0D-40FC-86B8-66C69D989BEC}"/>
    <cellStyle name="Normal 5 5 2 2 9" xfId="9947" xr:uid="{82AA4179-4931-4623-B7B3-ADC93D4C362C}"/>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7AB346B1-D985-477B-B809-D3470C225F78}"/>
    <cellStyle name="Normal 5 5 2 3 2 3" xfId="12504" xr:uid="{CB03C159-FB3C-4F85-B6CE-58739BABF145}"/>
    <cellStyle name="Normal 5 5 2 3 3" xfId="5250" xr:uid="{00000000-0005-0000-0000-0000651B0000}"/>
    <cellStyle name="Normal 5 5 2 3 3 2" xfId="14576" xr:uid="{22EDB923-9387-4B41-9692-80AFA591AD31}"/>
    <cellStyle name="Normal 5 5 2 3 4" xfId="9354" xr:uid="{3251F49D-E700-469D-9840-28045D408641}"/>
    <cellStyle name="Normal 5 5 2 3 4 2" xfId="18669" xr:uid="{E10BB7D4-0E6B-4B9A-BEA6-044789151D91}"/>
    <cellStyle name="Normal 5 5 2 3 5" xfId="10359" xr:uid="{25B8BCC7-7BBC-48F6-A8D8-BE29F4D20517}"/>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DC8D97F6-5D7B-414A-A71A-3252F6FD1C66}"/>
    <cellStyle name="Normal 5 5 2 4 2 3" xfId="12917" xr:uid="{DA9DF44C-BBBB-442C-900D-5707FAA4A5FE}"/>
    <cellStyle name="Normal 5 5 2 4 3" xfId="5663" xr:uid="{00000000-0005-0000-0000-0000691B0000}"/>
    <cellStyle name="Normal 5 5 2 4 3 2" xfId="14989" xr:uid="{7E3FDF88-C0E6-4713-BCFA-9653BF89B0EF}"/>
    <cellStyle name="Normal 5 5 2 4 4" xfId="10772" xr:uid="{53F306D3-2E14-4FC5-B7C2-78964E4C5624}"/>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013B84F0-275D-4D2F-95ED-3155A22D712D}"/>
    <cellStyle name="Normal 5 5 2 5 2 3" xfId="13330" xr:uid="{DBFB8D0E-677F-4143-ADF7-A056EF073946}"/>
    <cellStyle name="Normal 5 5 2 5 3" xfId="6076" xr:uid="{00000000-0005-0000-0000-00006D1B0000}"/>
    <cellStyle name="Normal 5 5 2 5 3 2" xfId="15402" xr:uid="{06EA032E-EFB5-4CF2-835C-62EF5EC73309}"/>
    <cellStyle name="Normal 5 5 2 5 4" xfId="11185" xr:uid="{A337D524-77B6-46DD-9296-1C00D60E4524}"/>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D3B6BFB3-81A2-4278-B9C6-5DF6491F80C0}"/>
    <cellStyle name="Normal 5 5 2 6 2 3" xfId="13743" xr:uid="{0CD2A501-90F3-4345-8EBF-8926742AECBE}"/>
    <cellStyle name="Normal 5 5 2 6 3" xfId="6489" xr:uid="{00000000-0005-0000-0000-0000711B0000}"/>
    <cellStyle name="Normal 5 5 2 6 3 2" xfId="15815" xr:uid="{33DB7571-2162-4282-BF01-168880321DB0}"/>
    <cellStyle name="Normal 5 5 2 6 4" xfId="11598" xr:uid="{70F3050E-BD97-45B7-BA1D-39962385E79B}"/>
    <cellStyle name="Normal 5 5 2 7" xfId="2619" xr:uid="{00000000-0005-0000-0000-0000721B0000}"/>
    <cellStyle name="Normal 5 5 2 7 2" xfId="6902" xr:uid="{00000000-0005-0000-0000-0000731B0000}"/>
    <cellStyle name="Normal 5 5 2 7 2 2" xfId="16228" xr:uid="{86A00B4F-EAC1-4F79-864A-CD04960BD9BF}"/>
    <cellStyle name="Normal 5 5 2 7 3" xfId="12011" xr:uid="{BCE7EE65-1036-48E4-A2D3-3C8CC983546A}"/>
    <cellStyle name="Normal 5 5 2 8" xfId="4837" xr:uid="{00000000-0005-0000-0000-0000741B0000}"/>
    <cellStyle name="Normal 5 5 2 8 2" xfId="14163" xr:uid="{2DE17FD1-6665-4BB8-B971-61AFDCF3C227}"/>
    <cellStyle name="Normal 5 5 2 9" xfId="8929" xr:uid="{918246BA-1946-46D4-8BAF-6DC0C4DC8AC3}"/>
    <cellStyle name="Normal 5 5 2 9 2" xfId="18253" xr:uid="{0A37760E-F483-4CE5-8808-6B030D054505}"/>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48C0C727-0D4B-4051-B222-85A0024866F4}"/>
    <cellStyle name="Normal 5 5 3 2 2 3" xfId="12506" xr:uid="{BC202BBE-D053-45C8-B367-D3A75DCECC89}"/>
    <cellStyle name="Normal 5 5 3 2 3" xfId="5252" xr:uid="{00000000-0005-0000-0000-0000791B0000}"/>
    <cellStyle name="Normal 5 5 3 2 3 2" xfId="14578" xr:uid="{B8E25A8A-6EA3-4943-A29B-75D1D3359BBD}"/>
    <cellStyle name="Normal 5 5 3 2 4" xfId="9458" xr:uid="{8AD16727-CFBF-4DB5-B58F-04D48E2B564D}"/>
    <cellStyle name="Normal 5 5 3 2 4 2" xfId="18773" xr:uid="{CCBF4189-9419-4131-959A-F3B6AAFFAA96}"/>
    <cellStyle name="Normal 5 5 3 2 5" xfId="10361" xr:uid="{05CEB125-2ECE-40AE-97F7-F6A43E069CDA}"/>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5759EB19-A62E-4BA8-A91E-0ADB25D2129E}"/>
    <cellStyle name="Normal 5 5 3 3 2 3" xfId="12919" xr:uid="{504CA2C3-8B08-46C3-B583-CE375331744E}"/>
    <cellStyle name="Normal 5 5 3 3 3" xfId="5665" xr:uid="{00000000-0005-0000-0000-00007D1B0000}"/>
    <cellStyle name="Normal 5 5 3 3 3 2" xfId="14991" xr:uid="{D722A2EF-036F-4E94-9AE6-42C5ACA452AE}"/>
    <cellStyle name="Normal 5 5 3 3 4" xfId="10774" xr:uid="{91381C3D-7825-454E-A6C1-E075E1BA6842}"/>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9F23691E-9AFE-40F6-851D-F59097268EE9}"/>
    <cellStyle name="Normal 5 5 3 4 2 3" xfId="13332" xr:uid="{258D7D05-48C3-4015-AD49-FB561407F13A}"/>
    <cellStyle name="Normal 5 5 3 4 3" xfId="6078" xr:uid="{00000000-0005-0000-0000-0000811B0000}"/>
    <cellStyle name="Normal 5 5 3 4 3 2" xfId="15404" xr:uid="{0EC6D46F-4C4F-4CA3-86F2-4278C02ADBE4}"/>
    <cellStyle name="Normal 5 5 3 4 4" xfId="11187" xr:uid="{843C607A-57D3-458F-88C5-1033CF0BBF5B}"/>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21606AF0-B7B2-4E9A-A1F9-FD876D02066D}"/>
    <cellStyle name="Normal 5 5 3 5 2 3" xfId="13745" xr:uid="{6992E6B0-A1B8-4512-9313-01A4B9EC204F}"/>
    <cellStyle name="Normal 5 5 3 5 3" xfId="6491" xr:uid="{00000000-0005-0000-0000-0000851B0000}"/>
    <cellStyle name="Normal 5 5 3 5 3 2" xfId="15817" xr:uid="{95616682-8DD7-4E6A-B7C0-8386E4F9BD8D}"/>
    <cellStyle name="Normal 5 5 3 5 4" xfId="11600" xr:uid="{8D394554-006C-431C-A1A5-EEAB521BB62B}"/>
    <cellStyle name="Normal 5 5 3 6" xfId="2621" xr:uid="{00000000-0005-0000-0000-0000861B0000}"/>
    <cellStyle name="Normal 5 5 3 6 2" xfId="6904" xr:uid="{00000000-0005-0000-0000-0000871B0000}"/>
    <cellStyle name="Normal 5 5 3 6 2 2" xfId="16230" xr:uid="{5CEFFBD8-F69A-49A3-9ED9-6AAC0CBF6503}"/>
    <cellStyle name="Normal 5 5 3 6 3" xfId="12013" xr:uid="{43A5F861-74B6-4064-A8B2-E7ED666BFD6F}"/>
    <cellStyle name="Normal 5 5 3 7" xfId="4839" xr:uid="{00000000-0005-0000-0000-0000881B0000}"/>
    <cellStyle name="Normal 5 5 3 7 2" xfId="14165" xr:uid="{243878C9-2ECA-4067-931B-30820C784CF4}"/>
    <cellStyle name="Normal 5 5 3 8" xfId="9033" xr:uid="{08F77EF7-8D03-42D9-B538-FE3582C4B971}"/>
    <cellStyle name="Normal 5 5 3 8 2" xfId="18357" xr:uid="{93580C67-0ED0-4EAB-BE02-70658AD741E4}"/>
    <cellStyle name="Normal 5 5 3 9" xfId="9948" xr:uid="{DE6314BA-37CA-4087-A411-CD6F1764BB84}"/>
    <cellStyle name="Normal 5 5 4" xfId="938" xr:uid="{00000000-0005-0000-0000-0000891B0000}"/>
    <cellStyle name="Normal 5 5 4 2" xfId="3172" xr:uid="{00000000-0005-0000-0000-00008A1B0000}"/>
    <cellStyle name="Normal 5 5 4 2 2" xfId="7394" xr:uid="{00000000-0005-0000-0000-00008B1B0000}"/>
    <cellStyle name="Normal 5 5 4 2 2 2" xfId="16720" xr:uid="{691E0C49-5066-440E-9E79-C33645BAA069}"/>
    <cellStyle name="Normal 5 5 4 2 3" xfId="12503" xr:uid="{66845C16-2A92-4515-9811-B4D3D69842CD}"/>
    <cellStyle name="Normal 5 5 4 3" xfId="5249" xr:uid="{00000000-0005-0000-0000-00008C1B0000}"/>
    <cellStyle name="Normal 5 5 4 3 2" xfId="14575" xr:uid="{AC25836B-BBE4-494E-A455-89335A23BDFD}"/>
    <cellStyle name="Normal 5 5 4 4" xfId="9251" xr:uid="{4EAD9E35-D3C9-46BE-AE4D-29A1C6D5A6F7}"/>
    <cellStyle name="Normal 5 5 4 4 2" xfId="18566" xr:uid="{BEF0191C-AE0B-4BD0-AE46-9564C330C60C}"/>
    <cellStyle name="Normal 5 5 4 5" xfId="10358" xr:uid="{ECE1A976-7D40-44A8-85F5-C90B1820F28C}"/>
    <cellStyle name="Normal 5 5 5" xfId="1355" xr:uid="{00000000-0005-0000-0000-00008D1B0000}"/>
    <cellStyle name="Normal 5 5 5 2" xfId="3585" xr:uid="{00000000-0005-0000-0000-00008E1B0000}"/>
    <cellStyle name="Normal 5 5 5 2 2" xfId="7807" xr:uid="{00000000-0005-0000-0000-00008F1B0000}"/>
    <cellStyle name="Normal 5 5 5 2 2 2" xfId="17133" xr:uid="{794884AF-4AA0-4580-BDDD-253977FE3CC0}"/>
    <cellStyle name="Normal 5 5 5 2 3" xfId="12916" xr:uid="{8641D4C4-4CE1-496B-BD93-73E41EB8612F}"/>
    <cellStyle name="Normal 5 5 5 3" xfId="5662" xr:uid="{00000000-0005-0000-0000-0000901B0000}"/>
    <cellStyle name="Normal 5 5 5 3 2" xfId="14988" xr:uid="{9BD53CA2-DE4D-41DA-98C3-0D82E384499F}"/>
    <cellStyle name="Normal 5 5 5 4" xfId="10771" xr:uid="{459E415B-7E0E-4BE9-BE75-AAFF763DA58B}"/>
    <cellStyle name="Normal 5 5 6" xfId="1768" xr:uid="{00000000-0005-0000-0000-0000911B0000}"/>
    <cellStyle name="Normal 5 5 6 2" xfId="3998" xr:uid="{00000000-0005-0000-0000-0000921B0000}"/>
    <cellStyle name="Normal 5 5 6 2 2" xfId="8220" xr:uid="{00000000-0005-0000-0000-0000931B0000}"/>
    <cellStyle name="Normal 5 5 6 2 2 2" xfId="17546" xr:uid="{F282BBBD-AFEF-45C4-934B-0AAE4897D36B}"/>
    <cellStyle name="Normal 5 5 6 2 3" xfId="13329" xr:uid="{67EF5B94-230A-432F-921B-BFB92F755084}"/>
    <cellStyle name="Normal 5 5 6 3" xfId="6075" xr:uid="{00000000-0005-0000-0000-0000941B0000}"/>
    <cellStyle name="Normal 5 5 6 3 2" xfId="15401" xr:uid="{73BB0CD8-2893-40DC-B539-7F4137CA542D}"/>
    <cellStyle name="Normal 5 5 6 4" xfId="11184" xr:uid="{FABAFBAA-E255-43AA-BFCD-6760D397804C}"/>
    <cellStyle name="Normal 5 5 7" xfId="2182" xr:uid="{00000000-0005-0000-0000-0000951B0000}"/>
    <cellStyle name="Normal 5 5 7 2" xfId="4411" xr:uid="{00000000-0005-0000-0000-0000961B0000}"/>
    <cellStyle name="Normal 5 5 7 2 2" xfId="8633" xr:uid="{00000000-0005-0000-0000-0000971B0000}"/>
    <cellStyle name="Normal 5 5 7 2 2 2" xfId="17959" xr:uid="{4E1714D5-09AA-45DE-9588-319C2F488257}"/>
    <cellStyle name="Normal 5 5 7 2 3" xfId="13742" xr:uid="{9332E938-DB8B-4053-BA27-DE4233FBEB35}"/>
    <cellStyle name="Normal 5 5 7 3" xfId="6488" xr:uid="{00000000-0005-0000-0000-0000981B0000}"/>
    <cellStyle name="Normal 5 5 7 3 2" xfId="15814" xr:uid="{D3B1595C-3854-42E1-9F92-01A5E3651294}"/>
    <cellStyle name="Normal 5 5 7 4" xfId="11597" xr:uid="{188C6199-384E-48CC-ACC7-C41DC44D20BB}"/>
    <cellStyle name="Normal 5 5 8" xfId="2618" xr:uid="{00000000-0005-0000-0000-0000991B0000}"/>
    <cellStyle name="Normal 5 5 8 2" xfId="6901" xr:uid="{00000000-0005-0000-0000-00009A1B0000}"/>
    <cellStyle name="Normal 5 5 8 2 2" xfId="16227" xr:uid="{1C9980AB-4947-49AC-814B-CA54BDD5B55C}"/>
    <cellStyle name="Normal 5 5 8 3" xfId="12010" xr:uid="{5BA2F666-C675-4CF2-A147-20C148B2E07D}"/>
    <cellStyle name="Normal 5 5 9" xfId="4836" xr:uid="{00000000-0005-0000-0000-00009B1B0000}"/>
    <cellStyle name="Normal 5 5 9 2" xfId="14162" xr:uid="{DBEB971D-AA2A-4E69-B23E-49461D1FE655}"/>
    <cellStyle name="Normal 5 6" xfId="468" xr:uid="{00000000-0005-0000-0000-00009C1B0000}"/>
    <cellStyle name="Normal 5 6 10" xfId="9949" xr:uid="{95E80305-8CA4-4C4E-ADE0-6C172CFB129C}"/>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E164CC60-345B-4204-91C0-74475AF29E13}"/>
    <cellStyle name="Normal 5 6 2 2 2 3" xfId="12508" xr:uid="{E1AF02BD-C492-40EE-A1EE-308937627AFB}"/>
    <cellStyle name="Normal 5 6 2 2 3" xfId="5254" xr:uid="{00000000-0005-0000-0000-0000A11B0000}"/>
    <cellStyle name="Normal 5 6 2 2 3 2" xfId="14580" xr:uid="{2CFEFE2E-83EC-4AC3-9177-2C6D54AD4CCB}"/>
    <cellStyle name="Normal 5 6 2 2 4" xfId="9476" xr:uid="{3B3E6CA1-4D97-4B11-99D5-4F82314AA0E0}"/>
    <cellStyle name="Normal 5 6 2 2 4 2" xfId="18791" xr:uid="{BA26BBC9-C635-4475-9D5E-991F844EB6B7}"/>
    <cellStyle name="Normal 5 6 2 2 5" xfId="10363" xr:uid="{971E9D14-59AD-4A86-9FCF-288E35689199}"/>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655580E8-26D3-47BF-9105-E3F19A386830}"/>
    <cellStyle name="Normal 5 6 2 3 2 3" xfId="12921" xr:uid="{2032EE0C-5FF8-48B3-8FB0-3366F316D543}"/>
    <cellStyle name="Normal 5 6 2 3 3" xfId="5667" xr:uid="{00000000-0005-0000-0000-0000A51B0000}"/>
    <cellStyle name="Normal 5 6 2 3 3 2" xfId="14993" xr:uid="{4D64B9AB-5A4F-4D7F-87FF-2691A5537A11}"/>
    <cellStyle name="Normal 5 6 2 3 4" xfId="10776" xr:uid="{163260E0-A8F3-433C-9FC2-4D9C353B8F67}"/>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4359A3A2-BF68-4C8B-A0F6-F7AA81669EDD}"/>
    <cellStyle name="Normal 5 6 2 4 2 3" xfId="13334" xr:uid="{71B32BAC-D31C-4877-9B6B-937344BC5E93}"/>
    <cellStyle name="Normal 5 6 2 4 3" xfId="6080" xr:uid="{00000000-0005-0000-0000-0000A91B0000}"/>
    <cellStyle name="Normal 5 6 2 4 3 2" xfId="15406" xr:uid="{6CF12C17-877D-4FFD-9568-A9C34DEED19F}"/>
    <cellStyle name="Normal 5 6 2 4 4" xfId="11189" xr:uid="{3ED1DA22-A798-4B32-85BF-D9025FAC3778}"/>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7C1E4C90-ED55-4223-82DA-F763CE587F06}"/>
    <cellStyle name="Normal 5 6 2 5 2 3" xfId="13747" xr:uid="{B45A3B05-E6F3-4023-B6DC-16C02C9496EC}"/>
    <cellStyle name="Normal 5 6 2 5 3" xfId="6493" xr:uid="{00000000-0005-0000-0000-0000AD1B0000}"/>
    <cellStyle name="Normal 5 6 2 5 3 2" xfId="15819" xr:uid="{D6F5AD83-848A-4169-A210-3F42F2DB1D9C}"/>
    <cellStyle name="Normal 5 6 2 5 4" xfId="11602" xr:uid="{89DD1976-704D-43EF-B8AB-A8304F4F0F9B}"/>
    <cellStyle name="Normal 5 6 2 6" xfId="2623" xr:uid="{00000000-0005-0000-0000-0000AE1B0000}"/>
    <cellStyle name="Normal 5 6 2 6 2" xfId="6906" xr:uid="{00000000-0005-0000-0000-0000AF1B0000}"/>
    <cellStyle name="Normal 5 6 2 6 2 2" xfId="16232" xr:uid="{A6272758-AE47-41E2-AAA1-191759DEBCA6}"/>
    <cellStyle name="Normal 5 6 2 6 3" xfId="12015" xr:uid="{F3602C11-E880-4D18-9F19-CE7786BEA02C}"/>
    <cellStyle name="Normal 5 6 2 7" xfId="4841" xr:uid="{00000000-0005-0000-0000-0000B01B0000}"/>
    <cellStyle name="Normal 5 6 2 7 2" xfId="14167" xr:uid="{510D1FD6-06B1-4368-84DC-63AFB087ECA6}"/>
    <cellStyle name="Normal 5 6 2 8" xfId="9051" xr:uid="{97C72229-9AC1-4DA9-8A0B-8B4B6D970DE8}"/>
    <cellStyle name="Normal 5 6 2 8 2" xfId="18375" xr:uid="{9D5A6816-6D18-469F-8700-7A651267ACC4}"/>
    <cellStyle name="Normal 5 6 2 9" xfId="9950" xr:uid="{927A02CE-3FB4-44A3-8E4C-85C707BB2D7F}"/>
    <cellStyle name="Normal 5 6 3" xfId="942" xr:uid="{00000000-0005-0000-0000-0000B11B0000}"/>
    <cellStyle name="Normal 5 6 3 2" xfId="3176" xr:uid="{00000000-0005-0000-0000-0000B21B0000}"/>
    <cellStyle name="Normal 5 6 3 2 2" xfId="7398" xr:uid="{00000000-0005-0000-0000-0000B31B0000}"/>
    <cellStyle name="Normal 5 6 3 2 2 2" xfId="16724" xr:uid="{D4F99A40-4D5D-4784-862E-BF7B692470DD}"/>
    <cellStyle name="Normal 5 6 3 2 3" xfId="12507" xr:uid="{CCF015E4-8C9C-480A-B674-7960EFAD716D}"/>
    <cellStyle name="Normal 5 6 3 3" xfId="5253" xr:uid="{00000000-0005-0000-0000-0000B41B0000}"/>
    <cellStyle name="Normal 5 6 3 3 2" xfId="14579" xr:uid="{C2161028-C999-4645-9A05-FC10F84670C7}"/>
    <cellStyle name="Normal 5 6 3 4" xfId="9269" xr:uid="{7D6728A0-C210-4F3F-8114-143B9AE0BFB4}"/>
    <cellStyle name="Normal 5 6 3 4 2" xfId="18584" xr:uid="{31089632-EA2E-4526-AEEB-ABBAD336E439}"/>
    <cellStyle name="Normal 5 6 3 5" xfId="10362" xr:uid="{3DC7F800-80D3-479E-A6DD-78ADD5D7252B}"/>
    <cellStyle name="Normal 5 6 4" xfId="1359" xr:uid="{00000000-0005-0000-0000-0000B51B0000}"/>
    <cellStyle name="Normal 5 6 4 2" xfId="3589" xr:uid="{00000000-0005-0000-0000-0000B61B0000}"/>
    <cellStyle name="Normal 5 6 4 2 2" xfId="7811" xr:uid="{00000000-0005-0000-0000-0000B71B0000}"/>
    <cellStyle name="Normal 5 6 4 2 2 2" xfId="17137" xr:uid="{8F3AE1DF-6440-4EB9-BC47-B0FB40FB242A}"/>
    <cellStyle name="Normal 5 6 4 2 3" xfId="12920" xr:uid="{94FA67F7-8759-4DEB-B39C-6995CA617E63}"/>
    <cellStyle name="Normal 5 6 4 3" xfId="5666" xr:uid="{00000000-0005-0000-0000-0000B81B0000}"/>
    <cellStyle name="Normal 5 6 4 3 2" xfId="14992" xr:uid="{CDB8832A-C110-48FD-84C9-D03393A94092}"/>
    <cellStyle name="Normal 5 6 4 4" xfId="10775" xr:uid="{1996AF16-9AF5-4E05-9F4F-DA1781183218}"/>
    <cellStyle name="Normal 5 6 5" xfId="1772" xr:uid="{00000000-0005-0000-0000-0000B91B0000}"/>
    <cellStyle name="Normal 5 6 5 2" xfId="4002" xr:uid="{00000000-0005-0000-0000-0000BA1B0000}"/>
    <cellStyle name="Normal 5 6 5 2 2" xfId="8224" xr:uid="{00000000-0005-0000-0000-0000BB1B0000}"/>
    <cellStyle name="Normal 5 6 5 2 2 2" xfId="17550" xr:uid="{C527D27B-1F76-4A7D-86F0-FC7AC336CEC1}"/>
    <cellStyle name="Normal 5 6 5 2 3" xfId="13333" xr:uid="{28A5A009-8DB0-4443-AF28-C04549F07347}"/>
    <cellStyle name="Normal 5 6 5 3" xfId="6079" xr:uid="{00000000-0005-0000-0000-0000BC1B0000}"/>
    <cellStyle name="Normal 5 6 5 3 2" xfId="15405" xr:uid="{E138D4BC-EDA6-4A32-83EB-3D16B10F890B}"/>
    <cellStyle name="Normal 5 6 5 4" xfId="11188" xr:uid="{B0AA4085-67F2-4A45-A94D-29DAB3D5CB09}"/>
    <cellStyle name="Normal 5 6 6" xfId="2186" xr:uid="{00000000-0005-0000-0000-0000BD1B0000}"/>
    <cellStyle name="Normal 5 6 6 2" xfId="4415" xr:uid="{00000000-0005-0000-0000-0000BE1B0000}"/>
    <cellStyle name="Normal 5 6 6 2 2" xfId="8637" xr:uid="{00000000-0005-0000-0000-0000BF1B0000}"/>
    <cellStyle name="Normal 5 6 6 2 2 2" xfId="17963" xr:uid="{796C2ADD-60EF-4B01-BEB6-93F8C96C4F1A}"/>
    <cellStyle name="Normal 5 6 6 2 3" xfId="13746" xr:uid="{4E20F955-1360-49C0-A1F6-96A2395EF992}"/>
    <cellStyle name="Normal 5 6 6 3" xfId="6492" xr:uid="{00000000-0005-0000-0000-0000C01B0000}"/>
    <cellStyle name="Normal 5 6 6 3 2" xfId="15818" xr:uid="{33091C2C-0516-41D0-8E62-F8FD56623B68}"/>
    <cellStyle name="Normal 5 6 6 4" xfId="11601" xr:uid="{ACAB1514-C947-4B4B-AF45-86E7FEA53256}"/>
    <cellStyle name="Normal 5 6 7" xfId="2622" xr:uid="{00000000-0005-0000-0000-0000C11B0000}"/>
    <cellStyle name="Normal 5 6 7 2" xfId="6905" xr:uid="{00000000-0005-0000-0000-0000C21B0000}"/>
    <cellStyle name="Normal 5 6 7 2 2" xfId="16231" xr:uid="{B1873D2D-2927-40FC-A38B-297CB744759E}"/>
    <cellStyle name="Normal 5 6 7 3" xfId="12014" xr:uid="{4FCBE5EF-0328-473D-BB62-C40B794A379C}"/>
    <cellStyle name="Normal 5 6 8" xfId="4840" xr:uid="{00000000-0005-0000-0000-0000C31B0000}"/>
    <cellStyle name="Normal 5 6 8 2" xfId="14166" xr:uid="{68C3263D-333F-4556-92B8-27E235DCE3E2}"/>
    <cellStyle name="Normal 5 6 9" xfId="8844" xr:uid="{91B947E4-8FF0-409F-B157-688724766D9F}"/>
    <cellStyle name="Normal 5 6 9 2" xfId="18168" xr:uid="{B437B1EE-FA5F-4E74-815F-3EE83C7C22C1}"/>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E054BAAF-0805-4FF3-A07B-BC0B3EFB9E5F}"/>
    <cellStyle name="Normal 5 7 2 2 3" xfId="12509" xr:uid="{D35BE331-A7E5-4B28-8360-92BEA0DABCA6}"/>
    <cellStyle name="Normal 5 7 2 3" xfId="5255" xr:uid="{00000000-0005-0000-0000-0000C81B0000}"/>
    <cellStyle name="Normal 5 7 2 3 2" xfId="14581" xr:uid="{5398CE2E-1453-49BD-8742-A1C4BBCD4BE7}"/>
    <cellStyle name="Normal 5 7 2 4" xfId="9385" xr:uid="{2E4A3B0A-2E42-41AC-9564-09D1598995A2}"/>
    <cellStyle name="Normal 5 7 2 4 2" xfId="18700" xr:uid="{0AAFBD40-FCBF-4CAF-BE09-3587FB433DE1}"/>
    <cellStyle name="Normal 5 7 2 5" xfId="10364" xr:uid="{030236A0-B995-4CFB-892F-28915D7F17FA}"/>
    <cellStyle name="Normal 5 7 3" xfId="1361" xr:uid="{00000000-0005-0000-0000-0000C91B0000}"/>
    <cellStyle name="Normal 5 7 3 2" xfId="3591" xr:uid="{00000000-0005-0000-0000-0000CA1B0000}"/>
    <cellStyle name="Normal 5 7 3 2 2" xfId="7813" xr:uid="{00000000-0005-0000-0000-0000CB1B0000}"/>
    <cellStyle name="Normal 5 7 3 2 2 2" xfId="17139" xr:uid="{7D33C903-73A0-407F-98F1-B346CF68B2D2}"/>
    <cellStyle name="Normal 5 7 3 2 3" xfId="12922" xr:uid="{8C23AF11-6495-4C99-AA7C-BA5408B855B7}"/>
    <cellStyle name="Normal 5 7 3 3" xfId="5668" xr:uid="{00000000-0005-0000-0000-0000CC1B0000}"/>
    <cellStyle name="Normal 5 7 3 3 2" xfId="14994" xr:uid="{B9E1148A-8329-4F8E-ABE6-4EFA01E1F6B1}"/>
    <cellStyle name="Normal 5 7 3 4" xfId="10777" xr:uid="{E8C28D31-87E2-4C65-8DA0-65D38E9CEBB4}"/>
    <cellStyle name="Normal 5 7 4" xfId="1774" xr:uid="{00000000-0005-0000-0000-0000CD1B0000}"/>
    <cellStyle name="Normal 5 7 4 2" xfId="4004" xr:uid="{00000000-0005-0000-0000-0000CE1B0000}"/>
    <cellStyle name="Normal 5 7 4 2 2" xfId="8226" xr:uid="{00000000-0005-0000-0000-0000CF1B0000}"/>
    <cellStyle name="Normal 5 7 4 2 2 2" xfId="17552" xr:uid="{89041EC5-BEFF-4D91-A67F-6F96F957D56E}"/>
    <cellStyle name="Normal 5 7 4 2 3" xfId="13335" xr:uid="{8D191912-0994-4D53-B5C6-107798718FCE}"/>
    <cellStyle name="Normal 5 7 4 3" xfId="6081" xr:uid="{00000000-0005-0000-0000-0000D01B0000}"/>
    <cellStyle name="Normal 5 7 4 3 2" xfId="15407" xr:uid="{4EC8DC4B-AD06-4005-A7D0-11CC8883BD2B}"/>
    <cellStyle name="Normal 5 7 4 4" xfId="11190" xr:uid="{A0DA0096-2315-4955-8C1E-0023E3047186}"/>
    <cellStyle name="Normal 5 7 5" xfId="2188" xr:uid="{00000000-0005-0000-0000-0000D11B0000}"/>
    <cellStyle name="Normal 5 7 5 2" xfId="4417" xr:uid="{00000000-0005-0000-0000-0000D21B0000}"/>
    <cellStyle name="Normal 5 7 5 2 2" xfId="8639" xr:uid="{00000000-0005-0000-0000-0000D31B0000}"/>
    <cellStyle name="Normal 5 7 5 2 2 2" xfId="17965" xr:uid="{7EC41B83-2A67-42C4-90E4-5BE5E4555F81}"/>
    <cellStyle name="Normal 5 7 5 2 3" xfId="13748" xr:uid="{A71C99CE-BC88-4496-8B3B-DAD2D08AF6D3}"/>
    <cellStyle name="Normal 5 7 5 3" xfId="6494" xr:uid="{00000000-0005-0000-0000-0000D41B0000}"/>
    <cellStyle name="Normal 5 7 5 3 2" xfId="15820" xr:uid="{7329034A-B037-4981-A99F-649B68401CD6}"/>
    <cellStyle name="Normal 5 7 5 4" xfId="11603" xr:uid="{8593945F-D0C8-4F80-ABA9-3F1D1F0D9481}"/>
    <cellStyle name="Normal 5 7 6" xfId="2624" xr:uid="{00000000-0005-0000-0000-0000D51B0000}"/>
    <cellStyle name="Normal 5 7 6 2" xfId="6907" xr:uid="{00000000-0005-0000-0000-0000D61B0000}"/>
    <cellStyle name="Normal 5 7 6 2 2" xfId="16233" xr:uid="{6E778476-5250-4830-AC6F-FA454D89E93A}"/>
    <cellStyle name="Normal 5 7 6 3" xfId="12016" xr:uid="{A6A6C240-4E2C-42BA-B3C2-5CA5C62F809B}"/>
    <cellStyle name="Normal 5 7 7" xfId="4842" xr:uid="{00000000-0005-0000-0000-0000D71B0000}"/>
    <cellStyle name="Normal 5 7 7 2" xfId="14168" xr:uid="{A3DE1078-6F7A-4E7F-AF04-ABE435093B3C}"/>
    <cellStyle name="Normal 5 7 8" xfId="8960" xr:uid="{F4BEC964-53C9-4393-B7F1-69B47FC1FF25}"/>
    <cellStyle name="Normal 5 7 8 2" xfId="18284" xr:uid="{E0111448-9249-4CF6-A45E-C882FC3DE7C8}"/>
    <cellStyle name="Normal 5 7 9" xfId="9951" xr:uid="{DD67DB1D-00AE-4AC0-BE9C-37DDDC253F65}"/>
    <cellStyle name="Normal 5 8" xfId="880" xr:uid="{00000000-0005-0000-0000-0000D81B0000}"/>
    <cellStyle name="Normal 5 8 2" xfId="3115" xr:uid="{00000000-0005-0000-0000-0000D91B0000}"/>
    <cellStyle name="Normal 5 8 2 2" xfId="7337" xr:uid="{00000000-0005-0000-0000-0000DA1B0000}"/>
    <cellStyle name="Normal 5 8 2 2 2" xfId="16663" xr:uid="{A45351BA-434C-41C7-97BF-665726FB52C1}"/>
    <cellStyle name="Normal 5 8 2 3" xfId="12446" xr:uid="{DE21A2A1-D63D-45A6-883A-E46042AE5EAB}"/>
    <cellStyle name="Normal 5 8 3" xfId="5192" xr:uid="{00000000-0005-0000-0000-0000DB1B0000}"/>
    <cellStyle name="Normal 5 8 3 2" xfId="14518" xr:uid="{4FA6B595-4235-4FAE-8841-CE33C2CA417E}"/>
    <cellStyle name="Normal 5 8 4" xfId="9163" xr:uid="{44C7CAD4-DD7C-48E0-9142-8ED22123C662}"/>
    <cellStyle name="Normal 5 8 4 2" xfId="18481" xr:uid="{CEA11C0E-A4A8-4307-BF99-471F9A3A1F8B}"/>
    <cellStyle name="Normal 5 8 5" xfId="10301" xr:uid="{10560C87-4E36-4014-8413-DE7A1BACADF9}"/>
    <cellStyle name="Normal 5 9" xfId="1298" xr:uid="{00000000-0005-0000-0000-0000DC1B0000}"/>
    <cellStyle name="Normal 5 9 2" xfId="3528" xr:uid="{00000000-0005-0000-0000-0000DD1B0000}"/>
    <cellStyle name="Normal 5 9 2 2" xfId="7750" xr:uid="{00000000-0005-0000-0000-0000DE1B0000}"/>
    <cellStyle name="Normal 5 9 2 2 2" xfId="17076" xr:uid="{48F9A146-D99C-4FD9-8C94-C90BD25AE52E}"/>
    <cellStyle name="Normal 5 9 2 3" xfId="12859" xr:uid="{9B57D474-546A-4DDD-A39D-D1610CD308D9}"/>
    <cellStyle name="Normal 5 9 3" xfId="5605" xr:uid="{00000000-0005-0000-0000-0000DF1B0000}"/>
    <cellStyle name="Normal 5 9 3 2" xfId="14931" xr:uid="{A4C199AC-4065-404C-90D1-E49A8EAE470F}"/>
    <cellStyle name="Normal 5 9 4" xfId="10714" xr:uid="{A8D5B2B8-45B9-43EC-8138-A7E4DB4D739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838FFCC9-2A4A-49AF-BE4D-2972CB764B72}"/>
    <cellStyle name="Normal 8 10 2 3" xfId="13749" xr:uid="{A954FB9D-C995-40C6-AD40-D13D54AA8B64}"/>
    <cellStyle name="Normal 8 10 3" xfId="6495" xr:uid="{00000000-0005-0000-0000-0000EB1B0000}"/>
    <cellStyle name="Normal 8 10 3 2" xfId="15821" xr:uid="{A951C191-E9EA-4F8D-8228-71291265C6DB}"/>
    <cellStyle name="Normal 8 10 4" xfId="11604" xr:uid="{346FF093-F73C-4989-BE45-63A19828BB13}"/>
    <cellStyle name="Normal 8 11" xfId="2625" xr:uid="{00000000-0005-0000-0000-0000EC1B0000}"/>
    <cellStyle name="Normal 8 11 2" xfId="6908" xr:uid="{00000000-0005-0000-0000-0000ED1B0000}"/>
    <cellStyle name="Normal 8 11 2 2" xfId="16234" xr:uid="{68FCBB0D-A96B-4727-BCCE-D6CDD32DAAE7}"/>
    <cellStyle name="Normal 8 11 3" xfId="12017" xr:uid="{F879C6F3-294F-4CDD-9690-BB10263099D0}"/>
    <cellStyle name="Normal 8 12" xfId="4843" xr:uid="{00000000-0005-0000-0000-0000EE1B0000}"/>
    <cellStyle name="Normal 8 12 2" xfId="14169" xr:uid="{5568E434-9C27-444D-9D5B-B61167D2D71F}"/>
    <cellStyle name="Normal 8 13" xfId="8742" xr:uid="{AF36CBBC-3EEB-4AC8-923B-65C7C2418AB0}"/>
    <cellStyle name="Normal 8 13 2" xfId="18066" xr:uid="{CAB5C57D-5476-4091-91F3-CEFF59CE0850}"/>
    <cellStyle name="Normal 8 14" xfId="9952" xr:uid="{45AE9358-D192-4416-9C06-526F8D1E0EEC}"/>
    <cellStyle name="Normal 8 2" xfId="479" xr:uid="{00000000-0005-0000-0000-0000EF1B0000}"/>
    <cellStyle name="Normal 8 2 10" xfId="2626" xr:uid="{00000000-0005-0000-0000-0000F01B0000}"/>
    <cellStyle name="Normal 8 2 10 2" xfId="6909" xr:uid="{00000000-0005-0000-0000-0000F11B0000}"/>
    <cellStyle name="Normal 8 2 10 2 2" xfId="16235" xr:uid="{EDD359BE-A50A-4A47-9144-2AFAFFCDB1CC}"/>
    <cellStyle name="Normal 8 2 10 3" xfId="12018" xr:uid="{ACB63C44-B573-4B78-83AC-1D460DB0C546}"/>
    <cellStyle name="Normal 8 2 11" xfId="4844" xr:uid="{00000000-0005-0000-0000-0000F21B0000}"/>
    <cellStyle name="Normal 8 2 11 2" xfId="14170" xr:uid="{208C87EC-4C20-4C62-A461-B2F1A6F1F880}"/>
    <cellStyle name="Normal 8 2 12" xfId="8751" xr:uid="{476D0553-3387-4D9F-B05B-56EC7A36F7A1}"/>
    <cellStyle name="Normal 8 2 12 2" xfId="18075" xr:uid="{416F8B46-939D-4570-A6A9-FE1603E1395E}"/>
    <cellStyle name="Normal 8 2 13" xfId="9953" xr:uid="{171E6CCB-5EF6-4040-96D0-81EB43EE16E8}"/>
    <cellStyle name="Normal 8 2 2" xfId="480" xr:uid="{00000000-0005-0000-0000-0000F31B0000}"/>
    <cellStyle name="Normal 8 2 2 10" xfId="4845" xr:uid="{00000000-0005-0000-0000-0000F41B0000}"/>
    <cellStyle name="Normal 8 2 2 10 2" xfId="14171" xr:uid="{481CC807-4BE5-483C-9691-BE478FA4189D}"/>
    <cellStyle name="Normal 8 2 2 11" xfId="8783" xr:uid="{3C426022-C415-47DA-A8EF-1D6CE72527BD}"/>
    <cellStyle name="Normal 8 2 2 11 2" xfId="18107" xr:uid="{A642511E-6C2D-417E-B261-8391542FFAD7}"/>
    <cellStyle name="Normal 8 2 2 12" xfId="9954" xr:uid="{111F4861-D914-447C-B3A4-6017587AC159}"/>
    <cellStyle name="Normal 8 2 2 2" xfId="481" xr:uid="{00000000-0005-0000-0000-0000F51B0000}"/>
    <cellStyle name="Normal 8 2 2 2 10" xfId="8836" xr:uid="{870E50AF-610D-4E0C-BDE0-389D6B32A0FA}"/>
    <cellStyle name="Normal 8 2 2 2 10 2" xfId="18160" xr:uid="{9470212B-92C8-41B6-AF9E-7E4AAB486D76}"/>
    <cellStyle name="Normal 8 2 2 2 11" xfId="9955" xr:uid="{29429D85-9C15-43D1-A8C3-786027912F83}"/>
    <cellStyle name="Normal 8 2 2 2 2" xfId="482" xr:uid="{00000000-0005-0000-0000-0000F61B0000}"/>
    <cellStyle name="Normal 8 2 2 2 2 10" xfId="9956" xr:uid="{4FC8E34F-0E77-49B4-B2DF-436FA7BBEB45}"/>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50D1CB26-B654-43D7-9D06-7391A2D4081C}"/>
    <cellStyle name="Normal 8 2 2 2 2 2 2 2 3" xfId="12515" xr:uid="{DE7E333A-3C5E-4D50-B878-5F5E9E64F180}"/>
    <cellStyle name="Normal 8 2 2 2 2 2 2 3" xfId="5261" xr:uid="{00000000-0005-0000-0000-0000FB1B0000}"/>
    <cellStyle name="Normal 8 2 2 2 2 2 2 3 2" xfId="14587" xr:uid="{91985521-EA9F-427A-A08B-AD09E189220C}"/>
    <cellStyle name="Normal 8 2 2 2 2 2 2 4" xfId="9571" xr:uid="{B467C179-FE08-45F9-B1E6-E66379D80EBC}"/>
    <cellStyle name="Normal 8 2 2 2 2 2 2 4 2" xfId="18886" xr:uid="{C379D621-0243-4864-A406-D4E6B212F7FA}"/>
    <cellStyle name="Normal 8 2 2 2 2 2 2 5" xfId="10370" xr:uid="{E752019B-EFD9-442E-BC24-60D757E338D9}"/>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E75D8F08-EC37-4784-BD95-B3001E64CE7D}"/>
    <cellStyle name="Normal 8 2 2 2 2 2 3 2 3" xfId="12928" xr:uid="{0CB75B68-F98A-4F2E-9A62-279D14481348}"/>
    <cellStyle name="Normal 8 2 2 2 2 2 3 3" xfId="5674" xr:uid="{00000000-0005-0000-0000-0000FF1B0000}"/>
    <cellStyle name="Normal 8 2 2 2 2 2 3 3 2" xfId="15000" xr:uid="{F312D566-6720-4DA8-A8AC-70D776BB394D}"/>
    <cellStyle name="Normal 8 2 2 2 2 2 3 4" xfId="10783" xr:uid="{18A70EC8-46DE-4022-817E-AD2665DE5BB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F680E6AB-80DF-450A-8C5B-56FEBB0A86EE}"/>
    <cellStyle name="Normal 8 2 2 2 2 2 4 2 3" xfId="13341" xr:uid="{B13D7D8F-EF3C-4B06-BD15-85263E524886}"/>
    <cellStyle name="Normal 8 2 2 2 2 2 4 3" xfId="6087" xr:uid="{00000000-0005-0000-0000-0000031C0000}"/>
    <cellStyle name="Normal 8 2 2 2 2 2 4 3 2" xfId="15413" xr:uid="{F0B1D0CE-F9F2-4B00-9D31-0E015DADA90F}"/>
    <cellStyle name="Normal 8 2 2 2 2 2 4 4" xfId="11196" xr:uid="{EAE879B8-024B-4848-8EE4-52D6D52E7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E71BFFDD-8F8D-49B5-A2BD-52601FFD4E7C}"/>
    <cellStyle name="Normal 8 2 2 2 2 2 5 2 3" xfId="13754" xr:uid="{416AF846-BA26-4802-83CB-44CD998BDBFB}"/>
    <cellStyle name="Normal 8 2 2 2 2 2 5 3" xfId="6500" xr:uid="{00000000-0005-0000-0000-0000071C0000}"/>
    <cellStyle name="Normal 8 2 2 2 2 2 5 3 2" xfId="15826" xr:uid="{74668B70-DCC4-4FEA-BB82-4A16959AC04E}"/>
    <cellStyle name="Normal 8 2 2 2 2 2 5 4" xfId="11609" xr:uid="{078A1D93-ABF4-4408-B852-80547E276B0D}"/>
    <cellStyle name="Normal 8 2 2 2 2 2 6" xfId="2630" xr:uid="{00000000-0005-0000-0000-0000081C0000}"/>
    <cellStyle name="Normal 8 2 2 2 2 2 6 2" xfId="6913" xr:uid="{00000000-0005-0000-0000-0000091C0000}"/>
    <cellStyle name="Normal 8 2 2 2 2 2 6 2 2" xfId="16239" xr:uid="{1A55633D-93D8-48F2-BF09-D2ADB5041A01}"/>
    <cellStyle name="Normal 8 2 2 2 2 2 6 3" xfId="12022" xr:uid="{B250D0A6-C618-49F5-AAE9-25D69BCC89C1}"/>
    <cellStyle name="Normal 8 2 2 2 2 2 7" xfId="4848" xr:uid="{00000000-0005-0000-0000-00000A1C0000}"/>
    <cellStyle name="Normal 8 2 2 2 2 2 7 2" xfId="14174" xr:uid="{35DD0860-EFD0-450F-A21E-15EF60E5E25C}"/>
    <cellStyle name="Normal 8 2 2 2 2 2 8" xfId="9146" xr:uid="{0E570703-055D-406D-8BD9-575AF6037A75}"/>
    <cellStyle name="Normal 8 2 2 2 2 2 8 2" xfId="18470" xr:uid="{8FE678D9-CBB4-457C-83AC-3254C01F586F}"/>
    <cellStyle name="Normal 8 2 2 2 2 2 9" xfId="9957" xr:uid="{C7DE4771-1BAA-46B7-BFCF-11AE8C206E84}"/>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1A7338C5-77A6-4154-9450-0659704E2EFE}"/>
    <cellStyle name="Normal 8 2 2 2 2 3 2 3" xfId="12514" xr:uid="{EC4FC25F-2BB3-4550-8E92-95AD8F63E73B}"/>
    <cellStyle name="Normal 8 2 2 2 2 3 3" xfId="5260" xr:uid="{00000000-0005-0000-0000-00000E1C0000}"/>
    <cellStyle name="Normal 8 2 2 2 2 3 3 2" xfId="14586" xr:uid="{53FF3E50-252F-4FBD-9AB3-FA352DCC7166}"/>
    <cellStyle name="Normal 8 2 2 2 2 3 4" xfId="9364" xr:uid="{21426B7C-FC96-483C-B560-AC4767107497}"/>
    <cellStyle name="Normal 8 2 2 2 2 3 4 2" xfId="18679" xr:uid="{40288307-68A2-4145-AA19-93B29300699A}"/>
    <cellStyle name="Normal 8 2 2 2 2 3 5" xfId="10369" xr:uid="{DBA65A0F-4F22-4DDE-AFEB-6A3367D41E46}"/>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BC192880-5EE9-4E20-BEDA-0E525D7BC693}"/>
    <cellStyle name="Normal 8 2 2 2 2 4 2 3" xfId="12927" xr:uid="{33C3E0E8-5EE5-49EC-BB8B-525B00E21AE0}"/>
    <cellStyle name="Normal 8 2 2 2 2 4 3" xfId="5673" xr:uid="{00000000-0005-0000-0000-0000121C0000}"/>
    <cellStyle name="Normal 8 2 2 2 2 4 3 2" xfId="14999" xr:uid="{EDDCB544-8A7F-4686-A5C5-6DE1AB4205A2}"/>
    <cellStyle name="Normal 8 2 2 2 2 4 4" xfId="10782" xr:uid="{D2A24A03-7652-4B1C-8C11-8B5A1FAA7AEE}"/>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865E91B3-5A41-45E5-87CC-1DCA55F1B81E}"/>
    <cellStyle name="Normal 8 2 2 2 2 5 2 3" xfId="13340" xr:uid="{8BEC16BD-4BDA-428F-97C5-02F0DADCC06A}"/>
    <cellStyle name="Normal 8 2 2 2 2 5 3" xfId="6086" xr:uid="{00000000-0005-0000-0000-0000161C0000}"/>
    <cellStyle name="Normal 8 2 2 2 2 5 3 2" xfId="15412" xr:uid="{F3584038-8166-447E-9382-6B758F6D2A52}"/>
    <cellStyle name="Normal 8 2 2 2 2 5 4" xfId="11195" xr:uid="{286C994F-23F9-4C57-9A23-E76544609FA4}"/>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F7FA8384-A388-45D1-BEFF-852E150C10A2}"/>
    <cellStyle name="Normal 8 2 2 2 2 6 2 3" xfId="13753" xr:uid="{1D564CAF-A0E2-4E39-A097-BA8BDAC31F05}"/>
    <cellStyle name="Normal 8 2 2 2 2 6 3" xfId="6499" xr:uid="{00000000-0005-0000-0000-00001A1C0000}"/>
    <cellStyle name="Normal 8 2 2 2 2 6 3 2" xfId="15825" xr:uid="{40EDF227-A326-4B61-A662-1A34A42BAFEA}"/>
    <cellStyle name="Normal 8 2 2 2 2 6 4" xfId="11608" xr:uid="{9FB1D5EA-2D8C-4DAC-AA05-5482F9858084}"/>
    <cellStyle name="Normal 8 2 2 2 2 7" xfId="2629" xr:uid="{00000000-0005-0000-0000-00001B1C0000}"/>
    <cellStyle name="Normal 8 2 2 2 2 7 2" xfId="6912" xr:uid="{00000000-0005-0000-0000-00001C1C0000}"/>
    <cellStyle name="Normal 8 2 2 2 2 7 2 2" xfId="16238" xr:uid="{8A54F353-EC77-42A3-83D8-8829642F2629}"/>
    <cellStyle name="Normal 8 2 2 2 2 7 3" xfId="12021" xr:uid="{08BB72E6-9E8A-4F21-B339-0A9FA19469C0}"/>
    <cellStyle name="Normal 8 2 2 2 2 8" xfId="4847" xr:uid="{00000000-0005-0000-0000-00001D1C0000}"/>
    <cellStyle name="Normal 8 2 2 2 2 8 2" xfId="14173" xr:uid="{65D13873-4AF4-478C-AFBD-42FA6425DFBB}"/>
    <cellStyle name="Normal 8 2 2 2 2 9" xfId="8939" xr:uid="{385BAC75-25D1-414A-8E33-9B6DCCA130DE}"/>
    <cellStyle name="Normal 8 2 2 2 2 9 2" xfId="18263" xr:uid="{E3A8C75B-37F9-492E-9413-E452CBFB98D9}"/>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EBB64275-E269-4897-9F32-BA705B642FFA}"/>
    <cellStyle name="Normal 8 2 2 2 3 2 2 3" xfId="12516" xr:uid="{4BE1C65C-EF45-42AE-8F6E-AEB90A4D3A89}"/>
    <cellStyle name="Normal 8 2 2 2 3 2 3" xfId="5262" xr:uid="{00000000-0005-0000-0000-0000221C0000}"/>
    <cellStyle name="Normal 8 2 2 2 3 2 3 2" xfId="14588" xr:uid="{C2BE6C7B-2D04-4C00-B74A-4458F862AC3D}"/>
    <cellStyle name="Normal 8 2 2 2 3 2 4" xfId="9468" xr:uid="{8CC4AD0E-72B4-4935-8967-B171D7B5EF8D}"/>
    <cellStyle name="Normal 8 2 2 2 3 2 4 2" xfId="18783" xr:uid="{A7141851-655E-484F-BAF5-E48868EC6219}"/>
    <cellStyle name="Normal 8 2 2 2 3 2 5" xfId="10371" xr:uid="{528C5B54-BEAC-44D1-A267-A29A0A1D515F}"/>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EC0E2D17-E001-4307-B759-992C14324037}"/>
    <cellStyle name="Normal 8 2 2 2 3 3 2 3" xfId="12929" xr:uid="{9063935E-485A-412C-B97B-8F3C697A288C}"/>
    <cellStyle name="Normal 8 2 2 2 3 3 3" xfId="5675" xr:uid="{00000000-0005-0000-0000-0000261C0000}"/>
    <cellStyle name="Normal 8 2 2 2 3 3 3 2" xfId="15001" xr:uid="{C0F71BA4-CB01-4EA2-996E-51301B44DACB}"/>
    <cellStyle name="Normal 8 2 2 2 3 3 4" xfId="10784" xr:uid="{836F69D3-2EB8-4552-993C-A9DF22B863E1}"/>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5F3B15FA-06E1-4898-A0B4-D4D6D718FED4}"/>
    <cellStyle name="Normal 8 2 2 2 3 4 2 3" xfId="13342" xr:uid="{53FC6F35-5837-4486-BF0B-C36708E2EEE1}"/>
    <cellStyle name="Normal 8 2 2 2 3 4 3" xfId="6088" xr:uid="{00000000-0005-0000-0000-00002A1C0000}"/>
    <cellStyle name="Normal 8 2 2 2 3 4 3 2" xfId="15414" xr:uid="{F8F50B5B-27D6-4B49-81D6-DEDD428EE854}"/>
    <cellStyle name="Normal 8 2 2 2 3 4 4" xfId="11197" xr:uid="{CF2C11A5-A8D7-451D-8B4E-FEBB3E3B3152}"/>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3D6C157F-ED70-4A0F-BBAB-A45FB166EEBD}"/>
    <cellStyle name="Normal 8 2 2 2 3 5 2 3" xfId="13755" xr:uid="{3398AABA-087A-47E1-8166-02BDF6D7CE51}"/>
    <cellStyle name="Normal 8 2 2 2 3 5 3" xfId="6501" xr:uid="{00000000-0005-0000-0000-00002E1C0000}"/>
    <cellStyle name="Normal 8 2 2 2 3 5 3 2" xfId="15827" xr:uid="{F96C1835-3ABD-42C9-92E4-504BB9D8BAE8}"/>
    <cellStyle name="Normal 8 2 2 2 3 5 4" xfId="11610" xr:uid="{F79F4BE6-2603-4BF0-8496-D34C6304BB56}"/>
    <cellStyle name="Normal 8 2 2 2 3 6" xfId="2631" xr:uid="{00000000-0005-0000-0000-00002F1C0000}"/>
    <cellStyle name="Normal 8 2 2 2 3 6 2" xfId="6914" xr:uid="{00000000-0005-0000-0000-0000301C0000}"/>
    <cellStyle name="Normal 8 2 2 2 3 6 2 2" xfId="16240" xr:uid="{D20EB73B-33C0-442E-A8CE-85C25C2A0996}"/>
    <cellStyle name="Normal 8 2 2 2 3 6 3" xfId="12023" xr:uid="{07FE7B81-9B00-45E2-9BDB-8E57B3951D4D}"/>
    <cellStyle name="Normal 8 2 2 2 3 7" xfId="4849" xr:uid="{00000000-0005-0000-0000-0000311C0000}"/>
    <cellStyle name="Normal 8 2 2 2 3 7 2" xfId="14175" xr:uid="{B5521A41-BB51-4A83-8CD8-C1077C44EF06}"/>
    <cellStyle name="Normal 8 2 2 2 3 8" xfId="9043" xr:uid="{BAC463DF-40A7-4F07-ADD3-7274E57F505C}"/>
    <cellStyle name="Normal 8 2 2 2 3 8 2" xfId="18367" xr:uid="{FFEB4433-C063-4209-BD82-81C76B2FA702}"/>
    <cellStyle name="Normal 8 2 2 2 3 9" xfId="9958" xr:uid="{27200950-7E96-489F-9DD4-F8FC08505325}"/>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6DB628A1-38AD-452E-88A6-F1891C2C2982}"/>
    <cellStyle name="Normal 8 2 2 2 4 2 3" xfId="12513" xr:uid="{7E3CC77E-B18D-4305-AB60-33554F084021}"/>
    <cellStyle name="Normal 8 2 2 2 4 3" xfId="5259" xr:uid="{00000000-0005-0000-0000-0000351C0000}"/>
    <cellStyle name="Normal 8 2 2 2 4 3 2" xfId="14585" xr:uid="{36070912-3147-4542-B916-B569EDB885F5}"/>
    <cellStyle name="Normal 8 2 2 2 4 4" xfId="9261" xr:uid="{70C29865-A6DE-4682-9EB1-83E4E07FD0A7}"/>
    <cellStyle name="Normal 8 2 2 2 4 4 2" xfId="18576" xr:uid="{43990FA2-1F46-434C-AEAD-590C2E76F0D1}"/>
    <cellStyle name="Normal 8 2 2 2 4 5" xfId="10368" xr:uid="{F546838C-784C-4383-9995-BF43FC055F4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F615BB28-26CF-408E-9A4A-80690C8231DB}"/>
    <cellStyle name="Normal 8 2 2 2 5 2 3" xfId="12926" xr:uid="{C0FCCB9A-D804-43C8-9398-C79BF88C4282}"/>
    <cellStyle name="Normal 8 2 2 2 5 3" xfId="5672" xr:uid="{00000000-0005-0000-0000-0000391C0000}"/>
    <cellStyle name="Normal 8 2 2 2 5 3 2" xfId="14998" xr:uid="{7903EA90-D3A1-4449-B02E-4AA4E98C0A46}"/>
    <cellStyle name="Normal 8 2 2 2 5 4" xfId="10781" xr:uid="{0ED5C783-11BA-4BF4-ABF3-796AD52EDCA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02FB8220-8A5A-45C9-83C6-B59EC272DC99}"/>
    <cellStyle name="Normal 8 2 2 2 6 2 3" xfId="13339" xr:uid="{AB1B95AE-0B44-437D-8E1C-C1BA23B27000}"/>
    <cellStyle name="Normal 8 2 2 2 6 3" xfId="6085" xr:uid="{00000000-0005-0000-0000-00003D1C0000}"/>
    <cellStyle name="Normal 8 2 2 2 6 3 2" xfId="15411" xr:uid="{3010EC2C-FE95-40D6-BA46-95E327482296}"/>
    <cellStyle name="Normal 8 2 2 2 6 4" xfId="11194" xr:uid="{4948364F-48B9-4C2F-9B43-F1422E8985B8}"/>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5DB7253D-2178-44EF-AF84-2705C1B8C5A5}"/>
    <cellStyle name="Normal 8 2 2 2 7 2 3" xfId="13752" xr:uid="{6C96B51B-BBB7-4177-9847-BD95C97E3697}"/>
    <cellStyle name="Normal 8 2 2 2 7 3" xfId="6498" xr:uid="{00000000-0005-0000-0000-0000411C0000}"/>
    <cellStyle name="Normal 8 2 2 2 7 3 2" xfId="15824" xr:uid="{67811496-9422-4246-9ED0-2BC942D233CB}"/>
    <cellStyle name="Normal 8 2 2 2 7 4" xfId="11607" xr:uid="{F2D82D94-3BC0-4223-A957-07AA5D508E23}"/>
    <cellStyle name="Normal 8 2 2 2 8" xfId="2628" xr:uid="{00000000-0005-0000-0000-0000421C0000}"/>
    <cellStyle name="Normal 8 2 2 2 8 2" xfId="6911" xr:uid="{00000000-0005-0000-0000-0000431C0000}"/>
    <cellStyle name="Normal 8 2 2 2 8 2 2" xfId="16237" xr:uid="{C7822E3F-D578-4EEA-A284-3A9AFD3FFCF1}"/>
    <cellStyle name="Normal 8 2 2 2 8 3" xfId="12020" xr:uid="{7C7EE318-DE3F-4820-9DFD-55C82E6C19C4}"/>
    <cellStyle name="Normal 8 2 2 2 9" xfId="4846" xr:uid="{00000000-0005-0000-0000-0000441C0000}"/>
    <cellStyle name="Normal 8 2 2 2 9 2" xfId="14172" xr:uid="{6B1FCA17-E7B2-4613-9C15-E9C775895F25}"/>
    <cellStyle name="Normal 8 2 2 3" xfId="485" xr:uid="{00000000-0005-0000-0000-0000451C0000}"/>
    <cellStyle name="Normal 8 2 2 3 10" xfId="9959" xr:uid="{20AD900A-F71F-4B4E-A463-1CA52B6E30C4}"/>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247A13E0-906E-4C64-9C19-58596A64D956}"/>
    <cellStyle name="Normal 8 2 2 3 2 2 2 3" xfId="12518" xr:uid="{1F9A2A80-70CF-4E99-AF34-6A266C864A80}"/>
    <cellStyle name="Normal 8 2 2 3 2 2 3" xfId="5264" xr:uid="{00000000-0005-0000-0000-00004A1C0000}"/>
    <cellStyle name="Normal 8 2 2 3 2 2 3 2" xfId="14590" xr:uid="{0B9B7BFB-D3DB-4849-94C6-E8C00D1FD4C6}"/>
    <cellStyle name="Normal 8 2 2 3 2 2 4" xfId="9518" xr:uid="{FDE93D5E-A6D1-456B-8726-FC2AB8FD16A4}"/>
    <cellStyle name="Normal 8 2 2 3 2 2 4 2" xfId="18833" xr:uid="{07CB3656-BF49-4793-B486-9A5AE23159A0}"/>
    <cellStyle name="Normal 8 2 2 3 2 2 5" xfId="10373" xr:uid="{51BCE499-E853-46AA-875E-55CDE85F71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36B18370-790D-4351-85D9-A5741BC3085C}"/>
    <cellStyle name="Normal 8 2 2 3 2 3 2 3" xfId="12931" xr:uid="{4DCB93B7-5F1A-463E-9C18-EA31CB2A38C6}"/>
    <cellStyle name="Normal 8 2 2 3 2 3 3" xfId="5677" xr:uid="{00000000-0005-0000-0000-00004E1C0000}"/>
    <cellStyle name="Normal 8 2 2 3 2 3 3 2" xfId="15003" xr:uid="{188FDF9C-9DDA-4E61-96F2-2331BCA6BD5B}"/>
    <cellStyle name="Normal 8 2 2 3 2 3 4" xfId="10786" xr:uid="{85150376-3B5F-4323-B24D-F192E0C8BCD7}"/>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02BE8664-7AFF-4CB7-8DB4-7EAA0F893E1C}"/>
    <cellStyle name="Normal 8 2 2 3 2 4 2 3" xfId="13344" xr:uid="{8C356235-3244-4EE6-8597-57ABFBB57BFA}"/>
    <cellStyle name="Normal 8 2 2 3 2 4 3" xfId="6090" xr:uid="{00000000-0005-0000-0000-0000521C0000}"/>
    <cellStyle name="Normal 8 2 2 3 2 4 3 2" xfId="15416" xr:uid="{2283DEA5-D09C-4017-A781-E221AF88F644}"/>
    <cellStyle name="Normal 8 2 2 3 2 4 4" xfId="11199" xr:uid="{38162225-6269-4F6F-9773-010B988FBF36}"/>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E4A6AF2B-8AC1-4F95-91C4-5C731B46E16D}"/>
    <cellStyle name="Normal 8 2 2 3 2 5 2 3" xfId="13757" xr:uid="{F301B13E-98FA-4A79-8539-ACFE2E6B8CAA}"/>
    <cellStyle name="Normal 8 2 2 3 2 5 3" xfId="6503" xr:uid="{00000000-0005-0000-0000-0000561C0000}"/>
    <cellStyle name="Normal 8 2 2 3 2 5 3 2" xfId="15829" xr:uid="{4356F80B-A953-471D-A6FC-1736CA4A4C7C}"/>
    <cellStyle name="Normal 8 2 2 3 2 5 4" xfId="11612" xr:uid="{49D79ABB-4A53-4888-86CD-BF61222927C1}"/>
    <cellStyle name="Normal 8 2 2 3 2 6" xfId="2633" xr:uid="{00000000-0005-0000-0000-0000571C0000}"/>
    <cellStyle name="Normal 8 2 2 3 2 6 2" xfId="6916" xr:uid="{00000000-0005-0000-0000-0000581C0000}"/>
    <cellStyle name="Normal 8 2 2 3 2 6 2 2" xfId="16242" xr:uid="{3AAF48DC-7152-420A-8ECB-A178895E3CCA}"/>
    <cellStyle name="Normal 8 2 2 3 2 6 3" xfId="12025" xr:uid="{B01356FC-AADB-4776-9BCA-09B65A3690F0}"/>
    <cellStyle name="Normal 8 2 2 3 2 7" xfId="4851" xr:uid="{00000000-0005-0000-0000-0000591C0000}"/>
    <cellStyle name="Normal 8 2 2 3 2 7 2" xfId="14177" xr:uid="{8D677631-2651-43FA-8B78-9FB862DAFF9F}"/>
    <cellStyle name="Normal 8 2 2 3 2 8" xfId="9093" xr:uid="{ADE34C72-BCCB-477C-B66A-BE7159CEB281}"/>
    <cellStyle name="Normal 8 2 2 3 2 8 2" xfId="18417" xr:uid="{A036528F-9436-442C-9168-9F143FE27ECD}"/>
    <cellStyle name="Normal 8 2 2 3 2 9" xfId="9960" xr:uid="{401EF5FA-F0D4-4643-A035-A9FF24666509}"/>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C8DC8736-F01E-45EA-BD29-5F84349E7251}"/>
    <cellStyle name="Normal 8 2 2 3 3 2 3" xfId="12517" xr:uid="{F9A900A9-7BF6-48AA-8E7A-2A911C10E5F2}"/>
    <cellStyle name="Normal 8 2 2 3 3 3" xfId="5263" xr:uid="{00000000-0005-0000-0000-00005D1C0000}"/>
    <cellStyle name="Normal 8 2 2 3 3 3 2" xfId="14589" xr:uid="{983354A5-A4E9-46CC-A2C1-E6FEDB608BD9}"/>
    <cellStyle name="Normal 8 2 2 3 3 4" xfId="9311" xr:uid="{F4618F1E-1235-4269-B5C6-B09BE5034F6C}"/>
    <cellStyle name="Normal 8 2 2 3 3 4 2" xfId="18626" xr:uid="{9520CA7B-6CEF-43AF-A29F-26BDE0C6FF8A}"/>
    <cellStyle name="Normal 8 2 2 3 3 5" xfId="10372" xr:uid="{2C879537-66FD-47A7-AB42-781FA251362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96CE7E65-7E2C-4CAA-85BD-8270F9A32604}"/>
    <cellStyle name="Normal 8 2 2 3 4 2 3" xfId="12930" xr:uid="{044CCB0F-659F-4FF2-9004-6C1DCA7B4E84}"/>
    <cellStyle name="Normal 8 2 2 3 4 3" xfId="5676" xr:uid="{00000000-0005-0000-0000-0000611C0000}"/>
    <cellStyle name="Normal 8 2 2 3 4 3 2" xfId="15002" xr:uid="{EE256A41-4664-4E60-A059-35BAF544DF0A}"/>
    <cellStyle name="Normal 8 2 2 3 4 4" xfId="10785" xr:uid="{B350A156-4326-4456-8BC2-7944037CDB7C}"/>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1B7CCCDB-6BC0-41BA-AEC8-28C9DF0A3FB1}"/>
    <cellStyle name="Normal 8 2 2 3 5 2 3" xfId="13343" xr:uid="{B6A4F659-9195-49B1-87C9-AEA4A94CA2FB}"/>
    <cellStyle name="Normal 8 2 2 3 5 3" xfId="6089" xr:uid="{00000000-0005-0000-0000-0000651C0000}"/>
    <cellStyle name="Normal 8 2 2 3 5 3 2" xfId="15415" xr:uid="{CB7AC3D9-C23C-491F-A9C1-EF6832436B73}"/>
    <cellStyle name="Normal 8 2 2 3 5 4" xfId="11198" xr:uid="{6CDA09F1-894C-48A3-AC52-09C7A1F11932}"/>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6DBF6A14-6789-430C-B0A7-86F8785B47A0}"/>
    <cellStyle name="Normal 8 2 2 3 6 2 3" xfId="13756" xr:uid="{53DC0DF7-AB60-4003-B636-29BAE8DEAEF8}"/>
    <cellStyle name="Normal 8 2 2 3 6 3" xfId="6502" xr:uid="{00000000-0005-0000-0000-0000691C0000}"/>
    <cellStyle name="Normal 8 2 2 3 6 3 2" xfId="15828" xr:uid="{5D07D595-2ADF-4380-89BA-9E6987D66D37}"/>
    <cellStyle name="Normal 8 2 2 3 6 4" xfId="11611" xr:uid="{74B11537-6285-44C4-BE1B-1A422F55AACE}"/>
    <cellStyle name="Normal 8 2 2 3 7" xfId="2632" xr:uid="{00000000-0005-0000-0000-00006A1C0000}"/>
    <cellStyle name="Normal 8 2 2 3 7 2" xfId="6915" xr:uid="{00000000-0005-0000-0000-00006B1C0000}"/>
    <cellStyle name="Normal 8 2 2 3 7 2 2" xfId="16241" xr:uid="{AEF55855-9945-4BA0-9E4F-9FB26448E508}"/>
    <cellStyle name="Normal 8 2 2 3 7 3" xfId="12024" xr:uid="{FB02B331-D0F2-4DF7-8D3A-76870BD750B1}"/>
    <cellStyle name="Normal 8 2 2 3 8" xfId="4850" xr:uid="{00000000-0005-0000-0000-00006C1C0000}"/>
    <cellStyle name="Normal 8 2 2 3 8 2" xfId="14176" xr:uid="{1400C72A-84A3-4A50-A2A0-005EAE7E70B1}"/>
    <cellStyle name="Normal 8 2 2 3 9" xfId="8886" xr:uid="{B2A45ACA-2377-4A40-A818-E7106AD46E30}"/>
    <cellStyle name="Normal 8 2 2 3 9 2" xfId="18210" xr:uid="{585F7408-1227-494A-B841-433062DD8F0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C87DE0CC-DF5D-4F83-A419-FC14E82BD9BB}"/>
    <cellStyle name="Normal 8 2 2 4 2 2 3" xfId="12519" xr:uid="{B2E383EF-8A7C-4752-9EE4-EA6849093347}"/>
    <cellStyle name="Normal 8 2 2 4 2 3" xfId="5265" xr:uid="{00000000-0005-0000-0000-0000711C0000}"/>
    <cellStyle name="Normal 8 2 2 4 2 3 2" xfId="14591" xr:uid="{5CDDAF44-9374-45C1-A2F6-A442DD3809B6}"/>
    <cellStyle name="Normal 8 2 2 4 2 4" xfId="9415" xr:uid="{88D7FF95-DEA9-4369-BE01-487FC7B2B7E8}"/>
    <cellStyle name="Normal 8 2 2 4 2 4 2" xfId="18730" xr:uid="{90F03320-4C79-4FB4-9B12-BC6DA56A9784}"/>
    <cellStyle name="Normal 8 2 2 4 2 5" xfId="10374" xr:uid="{BC5EE127-5AED-48CA-8CF5-D4FFC40B0EAB}"/>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DE81A6DA-1829-411E-A4F8-9E28B89C924C}"/>
    <cellStyle name="Normal 8 2 2 4 3 2 3" xfId="12932" xr:uid="{74A5CB31-D0D6-4581-97ED-F15F06615AB6}"/>
    <cellStyle name="Normal 8 2 2 4 3 3" xfId="5678" xr:uid="{00000000-0005-0000-0000-0000751C0000}"/>
    <cellStyle name="Normal 8 2 2 4 3 3 2" xfId="15004" xr:uid="{B34A780A-E8F0-48DC-AAA6-3F39165A9C3B}"/>
    <cellStyle name="Normal 8 2 2 4 3 4" xfId="10787" xr:uid="{106FE1CB-D2CF-40A3-A0D4-B8B17DA3B2AA}"/>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31BDD984-807A-42DB-A6E6-D3DA71A86849}"/>
    <cellStyle name="Normal 8 2 2 4 4 2 3" xfId="13345" xr:uid="{83F39131-8DA8-4D3B-BC02-61CD476B7374}"/>
    <cellStyle name="Normal 8 2 2 4 4 3" xfId="6091" xr:uid="{00000000-0005-0000-0000-0000791C0000}"/>
    <cellStyle name="Normal 8 2 2 4 4 3 2" xfId="15417" xr:uid="{44CD0695-752D-40B3-B753-CF5701750A96}"/>
    <cellStyle name="Normal 8 2 2 4 4 4" xfId="11200" xr:uid="{9EA34EB4-5A85-4A31-BE66-920F2ABB1E31}"/>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AA0A6A57-C055-421E-8929-BD79C60C5847}"/>
    <cellStyle name="Normal 8 2 2 4 5 2 3" xfId="13758" xr:uid="{7969A549-9E3A-4BC4-B5C4-0A026EA88C7F}"/>
    <cellStyle name="Normal 8 2 2 4 5 3" xfId="6504" xr:uid="{00000000-0005-0000-0000-00007D1C0000}"/>
    <cellStyle name="Normal 8 2 2 4 5 3 2" xfId="15830" xr:uid="{11926424-9480-46E8-A99D-3E8BC71ED78E}"/>
    <cellStyle name="Normal 8 2 2 4 5 4" xfId="11613" xr:uid="{8E05219B-0BF0-46AB-A40D-1CA44FFD7118}"/>
    <cellStyle name="Normal 8 2 2 4 6" xfId="2634" xr:uid="{00000000-0005-0000-0000-00007E1C0000}"/>
    <cellStyle name="Normal 8 2 2 4 6 2" xfId="6917" xr:uid="{00000000-0005-0000-0000-00007F1C0000}"/>
    <cellStyle name="Normal 8 2 2 4 6 2 2" xfId="16243" xr:uid="{B40D9C40-65AD-4646-8268-299B896C25D6}"/>
    <cellStyle name="Normal 8 2 2 4 6 3" xfId="12026" xr:uid="{72339A6B-505C-4FB8-BED9-5B0F3F948B2A}"/>
    <cellStyle name="Normal 8 2 2 4 7" xfId="4852" xr:uid="{00000000-0005-0000-0000-0000801C0000}"/>
    <cellStyle name="Normal 8 2 2 4 7 2" xfId="14178" xr:uid="{CD23AC67-3433-4A6B-8480-FE51492A06F6}"/>
    <cellStyle name="Normal 8 2 2 4 8" xfId="8990" xr:uid="{F08D85C9-EB04-4227-BEA0-1B51DDB63DFA}"/>
    <cellStyle name="Normal 8 2 2 4 8 2" xfId="18314" xr:uid="{D5245AB5-6C5F-41FE-B654-D19D1B48B490}"/>
    <cellStyle name="Normal 8 2 2 4 9" xfId="9961" xr:uid="{F178780C-EC42-496E-88ED-CE7ACEEA1E8C}"/>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9D32D977-2ED4-4D33-BCB6-AE4367DF8CE6}"/>
    <cellStyle name="Normal 8 2 2 5 2 3" xfId="12512" xr:uid="{41BCB245-8D96-41E0-B576-2AFD06254916}"/>
    <cellStyle name="Normal 8 2 2 5 3" xfId="5258" xr:uid="{00000000-0005-0000-0000-0000841C0000}"/>
    <cellStyle name="Normal 8 2 2 5 3 2" xfId="14584" xr:uid="{ED3AC254-79B3-4883-8C0E-2E925C5E8EDE}"/>
    <cellStyle name="Normal 8 2 2 5 4" xfId="9207" xr:uid="{D4CDC4D2-5794-400F-B850-1B259D26C1FE}"/>
    <cellStyle name="Normal 8 2 2 5 4 2" xfId="18523" xr:uid="{3D25C109-43E9-4E89-A27E-F6BB946AE1A8}"/>
    <cellStyle name="Normal 8 2 2 5 5" xfId="10367" xr:uid="{845056FB-E59C-44F6-9C56-6D9B6B954CC3}"/>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A26C3DD1-3F95-4DC6-942C-51FDBDBAD382}"/>
    <cellStyle name="Normal 8 2 2 6 2 3" xfId="12925" xr:uid="{4ABB13D3-F17C-4E52-B56A-002367D17BD5}"/>
    <cellStyle name="Normal 8 2 2 6 3" xfId="5671" xr:uid="{00000000-0005-0000-0000-0000881C0000}"/>
    <cellStyle name="Normal 8 2 2 6 3 2" xfId="14997" xr:uid="{867EA2B7-5DD7-4020-9D57-88A561A0C925}"/>
    <cellStyle name="Normal 8 2 2 6 4" xfId="10780" xr:uid="{6DA43BF0-0013-43F8-9793-E481E7AB80E6}"/>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1BC3C4BA-44A0-44B8-8D3D-640C521EEC4F}"/>
    <cellStyle name="Normal 8 2 2 7 2 3" xfId="13338" xr:uid="{E406DA6A-D374-4189-B92C-5A072AA02B60}"/>
    <cellStyle name="Normal 8 2 2 7 3" xfId="6084" xr:uid="{00000000-0005-0000-0000-00008C1C0000}"/>
    <cellStyle name="Normal 8 2 2 7 3 2" xfId="15410" xr:uid="{C12CBB02-7944-4AD1-A09F-3C02FA0692BE}"/>
    <cellStyle name="Normal 8 2 2 7 4" xfId="11193" xr:uid="{487E615D-2D4C-4A0A-BF11-6C3B3B356314}"/>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7DB1A391-BE33-44DA-ADAD-DB8212771131}"/>
    <cellStyle name="Normal 8 2 2 8 2 3" xfId="13751" xr:uid="{B6BE8D4E-4D49-400B-B55B-34311FF4AEDE}"/>
    <cellStyle name="Normal 8 2 2 8 3" xfId="6497" xr:uid="{00000000-0005-0000-0000-0000901C0000}"/>
    <cellStyle name="Normal 8 2 2 8 3 2" xfId="15823" xr:uid="{1B3EFE56-FF2E-4BBA-95A9-6A38D570C6B3}"/>
    <cellStyle name="Normal 8 2 2 8 4" xfId="11606" xr:uid="{DF0D45FD-1940-4A25-A0E3-60F560637766}"/>
    <cellStyle name="Normal 8 2 2 9" xfId="2627" xr:uid="{00000000-0005-0000-0000-0000911C0000}"/>
    <cellStyle name="Normal 8 2 2 9 2" xfId="6910" xr:uid="{00000000-0005-0000-0000-0000921C0000}"/>
    <cellStyle name="Normal 8 2 2 9 2 2" xfId="16236" xr:uid="{009F8009-DDA8-404A-9347-B2B923A7A97B}"/>
    <cellStyle name="Normal 8 2 2 9 3" xfId="12019" xr:uid="{4EC5EEA6-70A5-4972-BD82-5128BAF1A4F8}"/>
    <cellStyle name="Normal 8 2 3" xfId="488" xr:uid="{00000000-0005-0000-0000-0000931C0000}"/>
    <cellStyle name="Normal 8 2 3 10" xfId="8835" xr:uid="{2F0FB8B3-D08B-41EB-93AB-2D83A1BD6036}"/>
    <cellStyle name="Normal 8 2 3 10 2" xfId="18159" xr:uid="{8BA6AEC5-2987-42D0-B8E7-3A064D6D6E1A}"/>
    <cellStyle name="Normal 8 2 3 11" xfId="9962" xr:uid="{7661BC03-9035-41AE-95BC-F4DC56569758}"/>
    <cellStyle name="Normal 8 2 3 2" xfId="489" xr:uid="{00000000-0005-0000-0000-0000941C0000}"/>
    <cellStyle name="Normal 8 2 3 2 10" xfId="9963" xr:uid="{0A0EC54A-22EC-4D42-887A-7593B241A0DC}"/>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44AE55CA-219B-45CC-ACA1-E6810C6B7D87}"/>
    <cellStyle name="Normal 8 2 3 2 2 2 2 3" xfId="12522" xr:uid="{981AFAF6-5F67-4A7C-992F-AB5F0F6AD3A9}"/>
    <cellStyle name="Normal 8 2 3 2 2 2 3" xfId="5268" xr:uid="{00000000-0005-0000-0000-0000991C0000}"/>
    <cellStyle name="Normal 8 2 3 2 2 2 3 2" xfId="14594" xr:uid="{B3788CC0-5784-40FB-99E0-4979DFEFDA11}"/>
    <cellStyle name="Normal 8 2 3 2 2 2 4" xfId="9570" xr:uid="{BA9732E0-D9E4-47DB-882D-D871A821FA55}"/>
    <cellStyle name="Normal 8 2 3 2 2 2 4 2" xfId="18885" xr:uid="{620DDCEA-6585-4B72-9120-58BDD4004881}"/>
    <cellStyle name="Normal 8 2 3 2 2 2 5" xfId="10377" xr:uid="{08162541-3B27-4338-B0A6-B849F27DBBD3}"/>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22A240D2-521F-4326-BC3B-49FE8E91FA17}"/>
    <cellStyle name="Normal 8 2 3 2 2 3 2 3" xfId="12935" xr:uid="{459654AC-6B0D-4F05-A2D9-8DCF4A1AE071}"/>
    <cellStyle name="Normal 8 2 3 2 2 3 3" xfId="5681" xr:uid="{00000000-0005-0000-0000-00009D1C0000}"/>
    <cellStyle name="Normal 8 2 3 2 2 3 3 2" xfId="15007" xr:uid="{B02C74B9-7C83-4C60-867B-50FDE00962BD}"/>
    <cellStyle name="Normal 8 2 3 2 2 3 4" xfId="10790" xr:uid="{1A409A81-3CAB-4CF6-8518-35ECC30DA0E2}"/>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FA967052-A10F-4D39-9260-A0D51ED2DFAD}"/>
    <cellStyle name="Normal 8 2 3 2 2 4 2 3" xfId="13348" xr:uid="{2DBAF540-F275-4E2A-84D8-BD0BD23643AB}"/>
    <cellStyle name="Normal 8 2 3 2 2 4 3" xfId="6094" xr:uid="{00000000-0005-0000-0000-0000A11C0000}"/>
    <cellStyle name="Normal 8 2 3 2 2 4 3 2" xfId="15420" xr:uid="{6F8CAAE4-0469-47D8-AC84-BA90269B9DD3}"/>
    <cellStyle name="Normal 8 2 3 2 2 4 4" xfId="11203" xr:uid="{F0359E15-D35A-489A-AE87-0DF6DE6099EB}"/>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07B14478-729C-4E68-968D-EE7C3627C16B}"/>
    <cellStyle name="Normal 8 2 3 2 2 5 2 3" xfId="13761" xr:uid="{87924BEA-CA66-4CE1-B7AE-2C06779EB791}"/>
    <cellStyle name="Normal 8 2 3 2 2 5 3" xfId="6507" xr:uid="{00000000-0005-0000-0000-0000A51C0000}"/>
    <cellStyle name="Normal 8 2 3 2 2 5 3 2" xfId="15833" xr:uid="{80DE2F65-9736-415F-BB5F-332368A696DB}"/>
    <cellStyle name="Normal 8 2 3 2 2 5 4" xfId="11616" xr:uid="{903BDCA6-785B-49D7-A249-F938FF970056}"/>
    <cellStyle name="Normal 8 2 3 2 2 6" xfId="2637" xr:uid="{00000000-0005-0000-0000-0000A61C0000}"/>
    <cellStyle name="Normal 8 2 3 2 2 6 2" xfId="6920" xr:uid="{00000000-0005-0000-0000-0000A71C0000}"/>
    <cellStyle name="Normal 8 2 3 2 2 6 2 2" xfId="16246" xr:uid="{E1D07F9E-D8A1-480A-A6BB-401B4C81F65A}"/>
    <cellStyle name="Normal 8 2 3 2 2 6 3" xfId="12029" xr:uid="{A4ED2E9D-8281-43CD-BCB4-2BBF6C801E77}"/>
    <cellStyle name="Normal 8 2 3 2 2 7" xfId="4855" xr:uid="{00000000-0005-0000-0000-0000A81C0000}"/>
    <cellStyle name="Normal 8 2 3 2 2 7 2" xfId="14181" xr:uid="{96930C19-FD12-49D9-8B8D-02B59CE8CE8E}"/>
    <cellStyle name="Normal 8 2 3 2 2 8" xfId="9145" xr:uid="{C71E6005-187D-4837-92B4-619AF06B3A3B}"/>
    <cellStyle name="Normal 8 2 3 2 2 8 2" xfId="18469" xr:uid="{5CFF3B1E-3238-4BD8-9F85-406AD1582A8D}"/>
    <cellStyle name="Normal 8 2 3 2 2 9" xfId="9964" xr:uid="{13A9EA9F-1865-4FC5-8DBA-CD12AFCB5E1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964C7004-9C97-485C-9E5F-36186747363B}"/>
    <cellStyle name="Normal 8 2 3 2 3 2 3" xfId="12521" xr:uid="{76C84AC3-464B-4009-A62A-401577D64E28}"/>
    <cellStyle name="Normal 8 2 3 2 3 3" xfId="5267" xr:uid="{00000000-0005-0000-0000-0000AC1C0000}"/>
    <cellStyle name="Normal 8 2 3 2 3 3 2" xfId="14593" xr:uid="{2968D239-6F40-4E71-AF61-1BA2F0EDFD4C}"/>
    <cellStyle name="Normal 8 2 3 2 3 4" xfId="9363" xr:uid="{C94C6C98-A8BC-4AC9-B084-0D2219E89AA8}"/>
    <cellStyle name="Normal 8 2 3 2 3 4 2" xfId="18678" xr:uid="{256DE832-BC59-4324-9B8F-304F8E82F98E}"/>
    <cellStyle name="Normal 8 2 3 2 3 5" xfId="10376" xr:uid="{428A13AE-3DB7-4C5A-8274-566F6AE9B540}"/>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3C45A8E2-8A09-4C83-B132-4835050B7AA0}"/>
    <cellStyle name="Normal 8 2 3 2 4 2 3" xfId="12934" xr:uid="{7A9BEC1B-334C-4FD7-9E66-32C14451C988}"/>
    <cellStyle name="Normal 8 2 3 2 4 3" xfId="5680" xr:uid="{00000000-0005-0000-0000-0000B01C0000}"/>
    <cellStyle name="Normal 8 2 3 2 4 3 2" xfId="15006" xr:uid="{CAAEEDAC-1EA3-4AD4-A1B3-8EC2FA8EAF17}"/>
    <cellStyle name="Normal 8 2 3 2 4 4" xfId="10789" xr:uid="{40B8691B-1229-4F19-AE0C-491444C45157}"/>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2A1E1D96-DA08-47D0-BF9F-F10423C04DCD}"/>
    <cellStyle name="Normal 8 2 3 2 5 2 3" xfId="13347" xr:uid="{DFA69AE6-9D3F-4DE3-9C77-50A7D5C57BEF}"/>
    <cellStyle name="Normal 8 2 3 2 5 3" xfId="6093" xr:uid="{00000000-0005-0000-0000-0000B41C0000}"/>
    <cellStyle name="Normal 8 2 3 2 5 3 2" xfId="15419" xr:uid="{CD9611ED-CDBF-4708-9FF6-000A6CE50124}"/>
    <cellStyle name="Normal 8 2 3 2 5 4" xfId="11202" xr:uid="{DAFFB292-557D-481D-A7D0-463FF96EE2AA}"/>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A8D73DF5-096F-4EB8-8ABE-4100E3270132}"/>
    <cellStyle name="Normal 8 2 3 2 6 2 3" xfId="13760" xr:uid="{A45A609E-807C-4876-B114-55CEC7DA797E}"/>
    <cellStyle name="Normal 8 2 3 2 6 3" xfId="6506" xr:uid="{00000000-0005-0000-0000-0000B81C0000}"/>
    <cellStyle name="Normal 8 2 3 2 6 3 2" xfId="15832" xr:uid="{7D836DDA-3C9C-4186-8734-F35D34A7309D}"/>
    <cellStyle name="Normal 8 2 3 2 6 4" xfId="11615" xr:uid="{B6C04382-C280-47DE-B900-28862F0E07E4}"/>
    <cellStyle name="Normal 8 2 3 2 7" xfId="2636" xr:uid="{00000000-0005-0000-0000-0000B91C0000}"/>
    <cellStyle name="Normal 8 2 3 2 7 2" xfId="6919" xr:uid="{00000000-0005-0000-0000-0000BA1C0000}"/>
    <cellStyle name="Normal 8 2 3 2 7 2 2" xfId="16245" xr:uid="{B481BB1F-BA01-433E-A03E-0E2EE29026EB}"/>
    <cellStyle name="Normal 8 2 3 2 7 3" xfId="12028" xr:uid="{BC1AB9AE-277B-4853-8D7E-3FF077270ADB}"/>
    <cellStyle name="Normal 8 2 3 2 8" xfId="4854" xr:uid="{00000000-0005-0000-0000-0000BB1C0000}"/>
    <cellStyle name="Normal 8 2 3 2 8 2" xfId="14180" xr:uid="{9FCE4792-3B3A-456E-96D8-51E77E976F64}"/>
    <cellStyle name="Normal 8 2 3 2 9" xfId="8938" xr:uid="{1EAF77CE-4DC3-40DC-AA9D-31320D478EE9}"/>
    <cellStyle name="Normal 8 2 3 2 9 2" xfId="18262" xr:uid="{B0EDF323-CE36-4698-8FA9-1B1C8870C68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599BE76B-14C9-4C70-BD04-A39D91C69B54}"/>
    <cellStyle name="Normal 8 2 3 3 2 2 3" xfId="12523" xr:uid="{9453D608-AE45-4519-876D-7A22AFA081FD}"/>
    <cellStyle name="Normal 8 2 3 3 2 3" xfId="5269" xr:uid="{00000000-0005-0000-0000-0000C01C0000}"/>
    <cellStyle name="Normal 8 2 3 3 2 3 2" xfId="14595" xr:uid="{E3003A02-EB9D-4E0C-8397-C2E8AA8E4F94}"/>
    <cellStyle name="Normal 8 2 3 3 2 4" xfId="9467" xr:uid="{C16001D7-8508-4511-808F-E990F8EA0FE3}"/>
    <cellStyle name="Normal 8 2 3 3 2 4 2" xfId="18782" xr:uid="{A93B9E47-95F0-40C6-AACB-266A258B58FB}"/>
    <cellStyle name="Normal 8 2 3 3 2 5" xfId="10378" xr:uid="{4B43331D-24F9-4628-8799-7DF4EAC5545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54031A5D-9E56-4DFE-85F2-FED32C436352}"/>
    <cellStyle name="Normal 8 2 3 3 3 2 3" xfId="12936" xr:uid="{96132E55-FFB4-413C-BA3F-27F152770758}"/>
    <cellStyle name="Normal 8 2 3 3 3 3" xfId="5682" xr:uid="{00000000-0005-0000-0000-0000C41C0000}"/>
    <cellStyle name="Normal 8 2 3 3 3 3 2" xfId="15008" xr:uid="{CE331661-9600-456E-BB61-51CCF3767203}"/>
    <cellStyle name="Normal 8 2 3 3 3 4" xfId="10791" xr:uid="{7053C2C5-A20D-4EFC-A970-CDDFF41D67E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B6090DD7-A7F0-4808-89D0-8D07812EB74F}"/>
    <cellStyle name="Normal 8 2 3 3 4 2 3" xfId="13349" xr:uid="{8E1D33AB-B841-46B1-8898-2E7B314B6EA6}"/>
    <cellStyle name="Normal 8 2 3 3 4 3" xfId="6095" xr:uid="{00000000-0005-0000-0000-0000C81C0000}"/>
    <cellStyle name="Normal 8 2 3 3 4 3 2" xfId="15421" xr:uid="{B2157FA8-3F7C-490F-B8D4-36E7E7A91CFB}"/>
    <cellStyle name="Normal 8 2 3 3 4 4" xfId="11204" xr:uid="{017CC2F9-9450-489D-A0A6-87D29B2360F9}"/>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4E39E1B2-31E3-4394-883C-B79AC95C34C1}"/>
    <cellStyle name="Normal 8 2 3 3 5 2 3" xfId="13762" xr:uid="{91837365-F15A-4B3D-B4FE-D70DC8684770}"/>
    <cellStyle name="Normal 8 2 3 3 5 3" xfId="6508" xr:uid="{00000000-0005-0000-0000-0000CC1C0000}"/>
    <cellStyle name="Normal 8 2 3 3 5 3 2" xfId="15834" xr:uid="{814A82CE-3E6C-4911-9606-611BD19E8D9B}"/>
    <cellStyle name="Normal 8 2 3 3 5 4" xfId="11617" xr:uid="{9B003563-AC17-4C5C-8B3A-1D15C8C9E121}"/>
    <cellStyle name="Normal 8 2 3 3 6" xfId="2638" xr:uid="{00000000-0005-0000-0000-0000CD1C0000}"/>
    <cellStyle name="Normal 8 2 3 3 6 2" xfId="6921" xr:uid="{00000000-0005-0000-0000-0000CE1C0000}"/>
    <cellStyle name="Normal 8 2 3 3 6 2 2" xfId="16247" xr:uid="{7123D854-222F-4E3F-9054-C2896438D8D6}"/>
    <cellStyle name="Normal 8 2 3 3 6 3" xfId="12030" xr:uid="{0CC185A1-22C0-458C-B783-37BB23FE0A93}"/>
    <cellStyle name="Normal 8 2 3 3 7" xfId="4856" xr:uid="{00000000-0005-0000-0000-0000CF1C0000}"/>
    <cellStyle name="Normal 8 2 3 3 7 2" xfId="14182" xr:uid="{457CC1A9-8AD7-45A5-B571-1895B72EC501}"/>
    <cellStyle name="Normal 8 2 3 3 8" xfId="9042" xr:uid="{D820ED39-BAB1-48C1-A68D-2017E247E432}"/>
    <cellStyle name="Normal 8 2 3 3 8 2" xfId="18366" xr:uid="{8323BBB0-48BF-4CAF-90E4-FDAAE98B8335}"/>
    <cellStyle name="Normal 8 2 3 3 9" xfId="9965" xr:uid="{229FB6F4-2258-4668-B4FF-4DBA9DD48ECB}"/>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54D3FA49-E019-4AFA-83E0-F9E39036E487}"/>
    <cellStyle name="Normal 8 2 3 4 2 3" xfId="12520" xr:uid="{AC0515DE-EB96-4E4B-81CE-05B2A9715C50}"/>
    <cellStyle name="Normal 8 2 3 4 3" xfId="5266" xr:uid="{00000000-0005-0000-0000-0000D31C0000}"/>
    <cellStyle name="Normal 8 2 3 4 3 2" xfId="14592" xr:uid="{E0937D1C-7A13-4A47-8BE2-38D66D020068}"/>
    <cellStyle name="Normal 8 2 3 4 4" xfId="9260" xr:uid="{70FF5A16-C89A-42B7-A603-E23A7C2F443C}"/>
    <cellStyle name="Normal 8 2 3 4 4 2" xfId="18575" xr:uid="{E9D80E1C-F7BD-4ECD-8422-7F6CD1C4FD9C}"/>
    <cellStyle name="Normal 8 2 3 4 5" xfId="10375" xr:uid="{D1C4977F-544A-4EAA-ADF5-8DF4EA73BAF3}"/>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7A227405-81FE-440B-A204-7767CD753A1B}"/>
    <cellStyle name="Normal 8 2 3 5 2 3" xfId="12933" xr:uid="{B5ADBC05-AD8D-467C-9C69-B1C26792150C}"/>
    <cellStyle name="Normal 8 2 3 5 3" xfId="5679" xr:uid="{00000000-0005-0000-0000-0000D71C0000}"/>
    <cellStyle name="Normal 8 2 3 5 3 2" xfId="15005" xr:uid="{08FF3472-4F3B-4CEB-8B70-2DB963E7444A}"/>
    <cellStyle name="Normal 8 2 3 5 4" xfId="10788" xr:uid="{BD7881E2-ACF3-452B-9084-7B61C7D35EA2}"/>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B4A135A4-2BAA-42FA-BFC5-EE74B0C6F793}"/>
    <cellStyle name="Normal 8 2 3 6 2 3" xfId="13346" xr:uid="{A1F4BA35-CBFB-4049-B041-10E3584EF314}"/>
    <cellStyle name="Normal 8 2 3 6 3" xfId="6092" xr:uid="{00000000-0005-0000-0000-0000DB1C0000}"/>
    <cellStyle name="Normal 8 2 3 6 3 2" xfId="15418" xr:uid="{7209AC6F-0C98-45AC-BAEF-E0037722EE43}"/>
    <cellStyle name="Normal 8 2 3 6 4" xfId="11201" xr:uid="{3C99E8B6-7E03-4C73-AD24-2E95EADF36EC}"/>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53458B20-7204-4EC5-A22B-3A0CC25162A5}"/>
    <cellStyle name="Normal 8 2 3 7 2 3" xfId="13759" xr:uid="{9B1DE477-0B55-4D69-8F04-A14B3433D72B}"/>
    <cellStyle name="Normal 8 2 3 7 3" xfId="6505" xr:uid="{00000000-0005-0000-0000-0000DF1C0000}"/>
    <cellStyle name="Normal 8 2 3 7 3 2" xfId="15831" xr:uid="{9E8D3CD9-DCCB-4DC9-ADB3-ECF22CC4A5CB}"/>
    <cellStyle name="Normal 8 2 3 7 4" xfId="11614" xr:uid="{21878D58-9FF9-4CE2-9C94-34E3E1D6066D}"/>
    <cellStyle name="Normal 8 2 3 8" xfId="2635" xr:uid="{00000000-0005-0000-0000-0000E01C0000}"/>
    <cellStyle name="Normal 8 2 3 8 2" xfId="6918" xr:uid="{00000000-0005-0000-0000-0000E11C0000}"/>
    <cellStyle name="Normal 8 2 3 8 2 2" xfId="16244" xr:uid="{4488FB51-5EDC-4CD9-AAA9-027D15A250D7}"/>
    <cellStyle name="Normal 8 2 3 8 3" xfId="12027" xr:uid="{8E127BD5-D9B9-42C3-8351-BA4C8D885F1B}"/>
    <cellStyle name="Normal 8 2 3 9" xfId="4853" xr:uid="{00000000-0005-0000-0000-0000E21C0000}"/>
    <cellStyle name="Normal 8 2 3 9 2" xfId="14179" xr:uid="{4D5DDE9B-B780-449A-A301-59FF3F7EC6CA}"/>
    <cellStyle name="Normal 8 2 4" xfId="492" xr:uid="{00000000-0005-0000-0000-0000E31C0000}"/>
    <cellStyle name="Normal 8 2 4 10" xfId="9966" xr:uid="{467031C1-2040-40FD-930D-E147DA2B208D}"/>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101C7395-6C03-425E-B0FE-C949FE2433A4}"/>
    <cellStyle name="Normal 8 2 4 2 2 2 3" xfId="12525" xr:uid="{BB2591A1-C584-4D35-B379-CA33AB4500A3}"/>
    <cellStyle name="Normal 8 2 4 2 2 3" xfId="5271" xr:uid="{00000000-0005-0000-0000-0000E81C0000}"/>
    <cellStyle name="Normal 8 2 4 2 2 3 2" xfId="14597" xr:uid="{F4E57701-5D71-4241-B853-1C00182104C4}"/>
    <cellStyle name="Normal 8 2 4 2 2 4" xfId="9486" xr:uid="{9F6EBE4C-F02F-43A6-A388-D5EACB1B3099}"/>
    <cellStyle name="Normal 8 2 4 2 2 4 2" xfId="18801" xr:uid="{3FA646F9-5075-4B8F-87D3-25A3BEBD12D9}"/>
    <cellStyle name="Normal 8 2 4 2 2 5" xfId="10380" xr:uid="{16E445A5-D2AB-4A1A-ADBD-6B03276AF63F}"/>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41355782-EA28-4729-8A5C-A8F2D75F0836}"/>
    <cellStyle name="Normal 8 2 4 2 3 2 3" xfId="12938" xr:uid="{CE15D07C-F9D7-4C3A-92BA-8222986B514C}"/>
    <cellStyle name="Normal 8 2 4 2 3 3" xfId="5684" xr:uid="{00000000-0005-0000-0000-0000EC1C0000}"/>
    <cellStyle name="Normal 8 2 4 2 3 3 2" xfId="15010" xr:uid="{513F3B19-9A69-489E-9FCE-8B48920B33FA}"/>
    <cellStyle name="Normal 8 2 4 2 3 4" xfId="10793" xr:uid="{9BCD0D2F-B9A1-4BE5-94BF-36F3B43220CE}"/>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D1C8E310-A2DE-49EA-A214-F74D7FA2D3DB}"/>
    <cellStyle name="Normal 8 2 4 2 4 2 3" xfId="13351" xr:uid="{D1336A3E-1E29-411A-936E-C78E26A5783E}"/>
    <cellStyle name="Normal 8 2 4 2 4 3" xfId="6097" xr:uid="{00000000-0005-0000-0000-0000F01C0000}"/>
    <cellStyle name="Normal 8 2 4 2 4 3 2" xfId="15423" xr:uid="{B8BC5EED-8E75-46D9-9C60-AE1CA9298F9C}"/>
    <cellStyle name="Normal 8 2 4 2 4 4" xfId="11206" xr:uid="{D3DE1DAD-5F78-426D-A2D6-EB6A5F1AEC4B}"/>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597F28DC-50E7-4F35-B103-BD72B279CC18}"/>
    <cellStyle name="Normal 8 2 4 2 5 2 3" xfId="13764" xr:uid="{21E6A127-972D-4DC9-A7CF-368BF386D15C}"/>
    <cellStyle name="Normal 8 2 4 2 5 3" xfId="6510" xr:uid="{00000000-0005-0000-0000-0000F41C0000}"/>
    <cellStyle name="Normal 8 2 4 2 5 3 2" xfId="15836" xr:uid="{36206183-1F0C-4448-B349-A2D927B06C78}"/>
    <cellStyle name="Normal 8 2 4 2 5 4" xfId="11619" xr:uid="{D8C612FE-C577-43E1-A6E4-BC45C568480F}"/>
    <cellStyle name="Normal 8 2 4 2 6" xfId="2640" xr:uid="{00000000-0005-0000-0000-0000F51C0000}"/>
    <cellStyle name="Normal 8 2 4 2 6 2" xfId="6923" xr:uid="{00000000-0005-0000-0000-0000F61C0000}"/>
    <cellStyle name="Normal 8 2 4 2 6 2 2" xfId="16249" xr:uid="{EB3CCADC-A577-4B68-B816-D2696BE477F8}"/>
    <cellStyle name="Normal 8 2 4 2 6 3" xfId="12032" xr:uid="{1AA7A697-6A7D-42C3-8006-1196066B8A5D}"/>
    <cellStyle name="Normal 8 2 4 2 7" xfId="4858" xr:uid="{00000000-0005-0000-0000-0000F71C0000}"/>
    <cellStyle name="Normal 8 2 4 2 7 2" xfId="14184" xr:uid="{AE14A3A2-6E3D-4791-B1F1-4BC241DDFEC9}"/>
    <cellStyle name="Normal 8 2 4 2 8" xfId="9061" xr:uid="{7295DB82-9441-436C-AA3E-91B68F6E59B3}"/>
    <cellStyle name="Normal 8 2 4 2 8 2" xfId="18385" xr:uid="{493BCD64-C9D5-494D-A4BC-08DE812D4F75}"/>
    <cellStyle name="Normal 8 2 4 2 9" xfId="9967" xr:uid="{FE1BA64F-2D6A-4E20-B2B6-7462CFFD73C4}"/>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7451FE02-E983-4B48-A58D-C4DB87DC9ECB}"/>
    <cellStyle name="Normal 8 2 4 3 2 3" xfId="12524" xr:uid="{018F344A-4697-4644-933D-4E14896D08C4}"/>
    <cellStyle name="Normal 8 2 4 3 3" xfId="5270" xr:uid="{00000000-0005-0000-0000-0000FB1C0000}"/>
    <cellStyle name="Normal 8 2 4 3 3 2" xfId="14596" xr:uid="{201C0798-3A04-49F4-BD46-E5677EC36805}"/>
    <cellStyle name="Normal 8 2 4 3 4" xfId="9279" xr:uid="{BA09D30D-BEBA-4223-83E6-57FB46A1EFA8}"/>
    <cellStyle name="Normal 8 2 4 3 4 2" xfId="18594" xr:uid="{AEBE38BC-1E89-44A1-8768-25F6F71B6469}"/>
    <cellStyle name="Normal 8 2 4 3 5" xfId="10379" xr:uid="{1B2DE4B1-128B-4B3E-A4E3-33CE8176047C}"/>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0D4BB006-41EE-41AE-86E1-3100E779F388}"/>
    <cellStyle name="Normal 8 2 4 4 2 3" xfId="12937" xr:uid="{3BD85B5D-7A17-4C49-B6A4-C46DE3FF6FB7}"/>
    <cellStyle name="Normal 8 2 4 4 3" xfId="5683" xr:uid="{00000000-0005-0000-0000-0000FF1C0000}"/>
    <cellStyle name="Normal 8 2 4 4 3 2" xfId="15009" xr:uid="{DEAE5ECF-1B40-4930-BDA8-F97C4E82925A}"/>
    <cellStyle name="Normal 8 2 4 4 4" xfId="10792" xr:uid="{7C51E977-E415-48F9-BF74-689F73B8BBCF}"/>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863B3853-E95D-47DD-9C1F-964306EE7C13}"/>
    <cellStyle name="Normal 8 2 4 5 2 3" xfId="13350" xr:uid="{127AAC2B-0808-4062-8670-4986EC29685E}"/>
    <cellStyle name="Normal 8 2 4 5 3" xfId="6096" xr:uid="{00000000-0005-0000-0000-0000031D0000}"/>
    <cellStyle name="Normal 8 2 4 5 3 2" xfId="15422" xr:uid="{6FAE8096-8E9C-4E59-8505-408CA69D4A25}"/>
    <cellStyle name="Normal 8 2 4 5 4" xfId="11205" xr:uid="{9FE98239-C55C-415F-8501-4643F4E2285B}"/>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600850A0-8876-4232-B835-FA93CF883A25}"/>
    <cellStyle name="Normal 8 2 4 6 2 3" xfId="13763" xr:uid="{0D0D1519-73EB-4520-B688-695BC7A31AC8}"/>
    <cellStyle name="Normal 8 2 4 6 3" xfId="6509" xr:uid="{00000000-0005-0000-0000-0000071D0000}"/>
    <cellStyle name="Normal 8 2 4 6 3 2" xfId="15835" xr:uid="{1DCEDF7F-4406-461C-A589-282F3E6F1388}"/>
    <cellStyle name="Normal 8 2 4 6 4" xfId="11618" xr:uid="{2115B0C4-78E2-4AF5-B827-B6682DF4C0C6}"/>
    <cellStyle name="Normal 8 2 4 7" xfId="2639" xr:uid="{00000000-0005-0000-0000-0000081D0000}"/>
    <cellStyle name="Normal 8 2 4 7 2" xfId="6922" xr:uid="{00000000-0005-0000-0000-0000091D0000}"/>
    <cellStyle name="Normal 8 2 4 7 2 2" xfId="16248" xr:uid="{DBC69B6F-3781-4006-83FD-4CB48DCEDDA0}"/>
    <cellStyle name="Normal 8 2 4 7 3" xfId="12031" xr:uid="{C97A92AE-E1A6-461B-AB01-A42B419C5001}"/>
    <cellStyle name="Normal 8 2 4 8" xfId="4857" xr:uid="{00000000-0005-0000-0000-00000A1D0000}"/>
    <cellStyle name="Normal 8 2 4 8 2" xfId="14183" xr:uid="{870F9FBC-0FFB-4A3A-A605-7C929D3129EA}"/>
    <cellStyle name="Normal 8 2 4 9" xfId="8854" xr:uid="{F1F9C500-F3E2-475A-983E-BD697F4BACD1}"/>
    <cellStyle name="Normal 8 2 4 9 2" xfId="18178" xr:uid="{0B4DCCD4-E2C0-4780-ACF4-24E216016A4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00EA9DDD-76EB-4BCE-B91C-4AD61053C5FA}"/>
    <cellStyle name="Normal 8 2 5 2 2 3" xfId="12526" xr:uid="{2AA0AC6B-0E7E-4983-84CA-931D13976787}"/>
    <cellStyle name="Normal 8 2 5 2 3" xfId="5272" xr:uid="{00000000-0005-0000-0000-00000F1D0000}"/>
    <cellStyle name="Normal 8 2 5 2 3 2" xfId="14598" xr:uid="{5D034CC0-D50F-4A13-B1A1-5CC9041EA5F2}"/>
    <cellStyle name="Normal 8 2 5 2 4" xfId="9395" xr:uid="{D5766EF3-6042-484F-B510-7448518CF571}"/>
    <cellStyle name="Normal 8 2 5 2 4 2" xfId="18710" xr:uid="{869622B7-81CE-4856-B747-EF3D6CAFF8F6}"/>
    <cellStyle name="Normal 8 2 5 2 5" xfId="10381" xr:uid="{47244367-0EBE-4594-892A-674F17D0EB59}"/>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A05F908F-A961-4449-8992-60FDAA16EB92}"/>
    <cellStyle name="Normal 8 2 5 3 2 3" xfId="12939" xr:uid="{C5DC2F87-181E-4ACE-B944-750D414C4896}"/>
    <cellStyle name="Normal 8 2 5 3 3" xfId="5685" xr:uid="{00000000-0005-0000-0000-0000131D0000}"/>
    <cellStyle name="Normal 8 2 5 3 3 2" xfId="15011" xr:uid="{B035A2B6-3064-48F1-96F9-E7031492A58D}"/>
    <cellStyle name="Normal 8 2 5 3 4" xfId="10794" xr:uid="{47096651-6D05-40D9-B21C-6BA74E6EFE77}"/>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501DB79F-7C47-4439-9C38-3493DFD0A4D3}"/>
    <cellStyle name="Normal 8 2 5 4 2 3" xfId="13352" xr:uid="{81479737-9C11-4D50-90D5-798CDC3A4D2D}"/>
    <cellStyle name="Normal 8 2 5 4 3" xfId="6098" xr:uid="{00000000-0005-0000-0000-0000171D0000}"/>
    <cellStyle name="Normal 8 2 5 4 3 2" xfId="15424" xr:uid="{A522D422-8B46-4D17-9590-8C056F0ADB65}"/>
    <cellStyle name="Normal 8 2 5 4 4" xfId="11207" xr:uid="{7870E1C4-DEFA-4567-9E97-B1817A62478B}"/>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A7C32CEF-478D-444F-8DBB-CD9ADF693B2E}"/>
    <cellStyle name="Normal 8 2 5 5 2 3" xfId="13765" xr:uid="{9337D386-C783-4A78-9CCC-FD3FA8FFE8B3}"/>
    <cellStyle name="Normal 8 2 5 5 3" xfId="6511" xr:uid="{00000000-0005-0000-0000-00001B1D0000}"/>
    <cellStyle name="Normal 8 2 5 5 3 2" xfId="15837" xr:uid="{751AEBE8-B4E7-45B1-A0E1-AB3F2DC5D99A}"/>
    <cellStyle name="Normal 8 2 5 5 4" xfId="11620" xr:uid="{01576DD3-707B-4A05-A136-DE8B3FC3798A}"/>
    <cellStyle name="Normal 8 2 5 6" xfId="2641" xr:uid="{00000000-0005-0000-0000-00001C1D0000}"/>
    <cellStyle name="Normal 8 2 5 6 2" xfId="6924" xr:uid="{00000000-0005-0000-0000-00001D1D0000}"/>
    <cellStyle name="Normal 8 2 5 6 2 2" xfId="16250" xr:uid="{B9D76DF9-DE6E-4371-873E-6E1942A95657}"/>
    <cellStyle name="Normal 8 2 5 6 3" xfId="12033" xr:uid="{B9FCC0D8-FEFA-47E8-BC90-D943B26C83F8}"/>
    <cellStyle name="Normal 8 2 5 7" xfId="4859" xr:uid="{00000000-0005-0000-0000-00001E1D0000}"/>
    <cellStyle name="Normal 8 2 5 7 2" xfId="14185" xr:uid="{7C49C6C1-26A6-4F5D-B62A-EF00BE4A4068}"/>
    <cellStyle name="Normal 8 2 5 8" xfId="8970" xr:uid="{7E9ACEFF-1680-45D8-BC32-8CA9BA1D63D4}"/>
    <cellStyle name="Normal 8 2 5 8 2" xfId="18294" xr:uid="{44D41086-85B9-4AC8-8B6B-F84F797B6DD5}"/>
    <cellStyle name="Normal 8 2 5 9" xfId="9968" xr:uid="{EB49CF3B-D015-4835-ABEB-ECBB619D7936}"/>
    <cellStyle name="Normal 8 2 6" xfId="946" xr:uid="{00000000-0005-0000-0000-00001F1D0000}"/>
    <cellStyle name="Normal 8 2 6 2" xfId="3180" xr:uid="{00000000-0005-0000-0000-0000201D0000}"/>
    <cellStyle name="Normal 8 2 6 2 2" xfId="7402" xr:uid="{00000000-0005-0000-0000-0000211D0000}"/>
    <cellStyle name="Normal 8 2 6 2 2 2" xfId="16728" xr:uid="{88049775-A933-4C5F-9AF6-48D0D0A2D04D}"/>
    <cellStyle name="Normal 8 2 6 2 3" xfId="12511" xr:uid="{E05830C4-6895-4651-8A32-2518452C947D}"/>
    <cellStyle name="Normal 8 2 6 3" xfId="5257" xr:uid="{00000000-0005-0000-0000-0000221D0000}"/>
    <cellStyle name="Normal 8 2 6 3 2" xfId="14583" xr:uid="{4B030D34-84DD-4808-BC9F-1482E8223F96}"/>
    <cellStyle name="Normal 8 2 6 4" xfId="9173" xr:uid="{C36295B3-E6F0-4A6D-AEE5-72C8177C13EE}"/>
    <cellStyle name="Normal 8 2 6 4 2" xfId="18491" xr:uid="{CA809D25-420E-485D-96A4-3634A4D69ADE}"/>
    <cellStyle name="Normal 8 2 6 5" xfId="10366" xr:uid="{46592751-1E79-4967-8CD7-24EF16A52154}"/>
    <cellStyle name="Normal 8 2 7" xfId="1363" xr:uid="{00000000-0005-0000-0000-0000231D0000}"/>
    <cellStyle name="Normal 8 2 7 2" xfId="3593" xr:uid="{00000000-0005-0000-0000-0000241D0000}"/>
    <cellStyle name="Normal 8 2 7 2 2" xfId="7815" xr:uid="{00000000-0005-0000-0000-0000251D0000}"/>
    <cellStyle name="Normal 8 2 7 2 2 2" xfId="17141" xr:uid="{FA54B855-3DFD-4902-91F7-9E90B1070D56}"/>
    <cellStyle name="Normal 8 2 7 2 3" xfId="12924" xr:uid="{ABCC8B31-B348-4106-B1FF-76A8D9DD455F}"/>
    <cellStyle name="Normal 8 2 7 3" xfId="5670" xr:uid="{00000000-0005-0000-0000-0000261D0000}"/>
    <cellStyle name="Normal 8 2 7 3 2" xfId="14996" xr:uid="{FB10EE18-3FD1-4A8F-A53C-535B125970D3}"/>
    <cellStyle name="Normal 8 2 7 4" xfId="10779" xr:uid="{03D1BD3E-59F5-4DF1-8253-FB25CDAFF5B1}"/>
    <cellStyle name="Normal 8 2 8" xfId="1776" xr:uid="{00000000-0005-0000-0000-0000271D0000}"/>
    <cellStyle name="Normal 8 2 8 2" xfId="4006" xr:uid="{00000000-0005-0000-0000-0000281D0000}"/>
    <cellStyle name="Normal 8 2 8 2 2" xfId="8228" xr:uid="{00000000-0005-0000-0000-0000291D0000}"/>
    <cellStyle name="Normal 8 2 8 2 2 2" xfId="17554" xr:uid="{F78DD805-7E8D-402A-9639-D3E3EE85854C}"/>
    <cellStyle name="Normal 8 2 8 2 3" xfId="13337" xr:uid="{41662A8C-B527-446E-8256-5A425E8C4AA3}"/>
    <cellStyle name="Normal 8 2 8 3" xfId="6083" xr:uid="{00000000-0005-0000-0000-00002A1D0000}"/>
    <cellStyle name="Normal 8 2 8 3 2" xfId="15409" xr:uid="{A5DCD13C-EA55-48FF-82EB-5F3FB8D6FFE6}"/>
    <cellStyle name="Normal 8 2 8 4" xfId="11192" xr:uid="{302D7911-4331-406C-A97E-3A3D5164814E}"/>
    <cellStyle name="Normal 8 2 9" xfId="2190" xr:uid="{00000000-0005-0000-0000-00002B1D0000}"/>
    <cellStyle name="Normal 8 2 9 2" xfId="4419" xr:uid="{00000000-0005-0000-0000-00002C1D0000}"/>
    <cellStyle name="Normal 8 2 9 2 2" xfId="8641" xr:uid="{00000000-0005-0000-0000-00002D1D0000}"/>
    <cellStyle name="Normal 8 2 9 2 2 2" xfId="17967" xr:uid="{4CF86114-0D12-459E-A96C-1719E6D82F10}"/>
    <cellStyle name="Normal 8 2 9 2 3" xfId="13750" xr:uid="{0D089E3D-D192-4FD7-95CD-9CDD9AED3B39}"/>
    <cellStyle name="Normal 8 2 9 3" xfId="6496" xr:uid="{00000000-0005-0000-0000-00002E1D0000}"/>
    <cellStyle name="Normal 8 2 9 3 2" xfId="15822" xr:uid="{F2B5A193-248E-4F9D-BCB9-79416984A630}"/>
    <cellStyle name="Normal 8 2 9 4" xfId="11605" xr:uid="{4E01D69D-E428-4E62-9A82-4961916045F2}"/>
    <cellStyle name="Normal 8 3" xfId="495" xr:uid="{00000000-0005-0000-0000-00002F1D0000}"/>
    <cellStyle name="Normal 8 3 10" xfId="4860" xr:uid="{00000000-0005-0000-0000-0000301D0000}"/>
    <cellStyle name="Normal 8 3 10 2" xfId="14186" xr:uid="{E211BDD7-29CE-4543-82B7-A0830FF5C387}"/>
    <cellStyle name="Normal 8 3 11" xfId="8774" xr:uid="{81BDDADD-940D-4F3A-BD6C-7E4719C8A3D2}"/>
    <cellStyle name="Normal 8 3 11 2" xfId="18098" xr:uid="{38D906F0-FA7A-46C2-B944-5D9B40333D46}"/>
    <cellStyle name="Normal 8 3 12" xfId="9969" xr:uid="{725C50B1-04D7-461D-97DB-8F710F9DDFCB}"/>
    <cellStyle name="Normal 8 3 2" xfId="496" xr:uid="{00000000-0005-0000-0000-0000311D0000}"/>
    <cellStyle name="Normal 8 3 2 10" xfId="8837" xr:uid="{392842AA-84B1-4A71-AE94-A1B631487B7E}"/>
    <cellStyle name="Normal 8 3 2 10 2" xfId="18161" xr:uid="{55CAB40F-23F0-4854-A1DB-919C71419615}"/>
    <cellStyle name="Normal 8 3 2 11" xfId="9970" xr:uid="{2A1E6446-EF48-453A-9DDA-91CF9B9FE09F}"/>
    <cellStyle name="Normal 8 3 2 2" xfId="497" xr:uid="{00000000-0005-0000-0000-0000321D0000}"/>
    <cellStyle name="Normal 8 3 2 2 10" xfId="9971" xr:uid="{0E1B7AF0-FB6A-46CD-8DF1-2FABF2558199}"/>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EFABEC37-810A-4B1A-A070-248E37047BDF}"/>
    <cellStyle name="Normal 8 3 2 2 2 2 2 3" xfId="12530" xr:uid="{C0EA9F6C-B780-4466-A09D-4D555B78B2E5}"/>
    <cellStyle name="Normal 8 3 2 2 2 2 3" xfId="5276" xr:uid="{00000000-0005-0000-0000-0000371D0000}"/>
    <cellStyle name="Normal 8 3 2 2 2 2 3 2" xfId="14602" xr:uid="{27A098B6-941F-4C96-B241-DA197FC1F6BE}"/>
    <cellStyle name="Normal 8 3 2 2 2 2 4" xfId="9572" xr:uid="{83269435-2305-4677-BD8B-8CB801DC108A}"/>
    <cellStyle name="Normal 8 3 2 2 2 2 4 2" xfId="18887" xr:uid="{BD957C78-73E0-4300-8F5B-1600B6595D22}"/>
    <cellStyle name="Normal 8 3 2 2 2 2 5" xfId="10385" xr:uid="{C385A783-BB33-40AD-9821-61FCAF2DA05B}"/>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0B17FCDE-DAAD-48C9-B910-2744B41558BA}"/>
    <cellStyle name="Normal 8 3 2 2 2 3 2 3" xfId="12943" xr:uid="{3CD8697E-7420-48E7-9ADE-61CAFB27EC02}"/>
    <cellStyle name="Normal 8 3 2 2 2 3 3" xfId="5689" xr:uid="{00000000-0005-0000-0000-00003B1D0000}"/>
    <cellStyle name="Normal 8 3 2 2 2 3 3 2" xfId="15015" xr:uid="{6454D929-B4CE-43A7-922D-5B04102F2F53}"/>
    <cellStyle name="Normal 8 3 2 2 2 3 4" xfId="10798" xr:uid="{A5D33042-F601-4125-B111-101A7262489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81BDD42E-F856-4006-9CBB-EF73414051D3}"/>
    <cellStyle name="Normal 8 3 2 2 2 4 2 3" xfId="13356" xr:uid="{104E7F06-3822-4EA5-A0FA-C55F6D6B40C7}"/>
    <cellStyle name="Normal 8 3 2 2 2 4 3" xfId="6102" xr:uid="{00000000-0005-0000-0000-00003F1D0000}"/>
    <cellStyle name="Normal 8 3 2 2 2 4 3 2" xfId="15428" xr:uid="{3D314F50-B9DB-4788-9340-7054D06DDB6A}"/>
    <cellStyle name="Normal 8 3 2 2 2 4 4" xfId="11211" xr:uid="{E53C072B-0264-4812-8FED-6368A8047849}"/>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7BDB4BD6-B3B3-4804-BD68-95BADCDE6842}"/>
    <cellStyle name="Normal 8 3 2 2 2 5 2 3" xfId="13769" xr:uid="{86110DF6-809C-4F90-9D8D-01A663BCA86F}"/>
    <cellStyle name="Normal 8 3 2 2 2 5 3" xfId="6515" xr:uid="{00000000-0005-0000-0000-0000431D0000}"/>
    <cellStyle name="Normal 8 3 2 2 2 5 3 2" xfId="15841" xr:uid="{1F3244CE-CB5D-4493-A7C4-AD30582BC84E}"/>
    <cellStyle name="Normal 8 3 2 2 2 5 4" xfId="11624" xr:uid="{434A4A4D-E6BE-4450-8421-6A55A2B7039A}"/>
    <cellStyle name="Normal 8 3 2 2 2 6" xfId="2645" xr:uid="{00000000-0005-0000-0000-0000441D0000}"/>
    <cellStyle name="Normal 8 3 2 2 2 6 2" xfId="6928" xr:uid="{00000000-0005-0000-0000-0000451D0000}"/>
    <cellStyle name="Normal 8 3 2 2 2 6 2 2" xfId="16254" xr:uid="{AE145059-4C13-44C8-9CC4-A96F4B73E9D9}"/>
    <cellStyle name="Normal 8 3 2 2 2 6 3" xfId="12037" xr:uid="{AEC49058-9E9B-4663-B255-865D739130C7}"/>
    <cellStyle name="Normal 8 3 2 2 2 7" xfId="4863" xr:uid="{00000000-0005-0000-0000-0000461D0000}"/>
    <cellStyle name="Normal 8 3 2 2 2 7 2" xfId="14189" xr:uid="{69BB0A6B-BF28-47D9-8B47-60CB670AA4D2}"/>
    <cellStyle name="Normal 8 3 2 2 2 8" xfId="9147" xr:uid="{16780743-13F5-44BF-919B-157B86988913}"/>
    <cellStyle name="Normal 8 3 2 2 2 8 2" xfId="18471" xr:uid="{9FEA7A31-A9C7-45E1-BC05-A1F29F58AA1C}"/>
    <cellStyle name="Normal 8 3 2 2 2 9" xfId="9972" xr:uid="{E45AC215-EFF2-42EC-A632-8B58B51E0DFC}"/>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5A2F6CB6-5F17-4C95-A6B0-658919837DCD}"/>
    <cellStyle name="Normal 8 3 2 2 3 2 3" xfId="12529" xr:uid="{E8017E0E-0B09-4758-A38F-414B04564210}"/>
    <cellStyle name="Normal 8 3 2 2 3 3" xfId="5275" xr:uid="{00000000-0005-0000-0000-00004A1D0000}"/>
    <cellStyle name="Normal 8 3 2 2 3 3 2" xfId="14601" xr:uid="{A58159AD-344E-47D5-8407-C08B86A8E530}"/>
    <cellStyle name="Normal 8 3 2 2 3 4" xfId="9365" xr:uid="{47FF7C14-7484-41B9-856F-11398F7B2C7C}"/>
    <cellStyle name="Normal 8 3 2 2 3 4 2" xfId="18680" xr:uid="{F66588D8-5DAD-49F3-AE76-AF955CE122FD}"/>
    <cellStyle name="Normal 8 3 2 2 3 5" xfId="10384" xr:uid="{2F3686C1-AAA1-401E-8FE0-69D98B2BD48A}"/>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31D50543-328A-4B91-A4E3-58C536B72CDE}"/>
    <cellStyle name="Normal 8 3 2 2 4 2 3" xfId="12942" xr:uid="{601BA707-FDCA-4093-B8BE-C6339BCBF01C}"/>
    <cellStyle name="Normal 8 3 2 2 4 3" xfId="5688" xr:uid="{00000000-0005-0000-0000-00004E1D0000}"/>
    <cellStyle name="Normal 8 3 2 2 4 3 2" xfId="15014" xr:uid="{9E6C9E9D-753E-4A60-B4ED-2600B8297571}"/>
    <cellStyle name="Normal 8 3 2 2 4 4" xfId="10797" xr:uid="{38A84F0F-7FDE-4C62-BA50-A53258631097}"/>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0A7CF9F0-931B-4815-A470-E87CFD7CA517}"/>
    <cellStyle name="Normal 8 3 2 2 5 2 3" xfId="13355" xr:uid="{AF6550BF-C223-4D97-BE28-05FD40A3466F}"/>
    <cellStyle name="Normal 8 3 2 2 5 3" xfId="6101" xr:uid="{00000000-0005-0000-0000-0000521D0000}"/>
    <cellStyle name="Normal 8 3 2 2 5 3 2" xfId="15427" xr:uid="{6D44694F-3EF1-4A45-A11A-4BDF2E6434EC}"/>
    <cellStyle name="Normal 8 3 2 2 5 4" xfId="11210" xr:uid="{2DB7F39D-E359-4F56-A0F7-88E44BA95432}"/>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3FAD5E98-F17B-4468-9021-6E2B428E9E01}"/>
    <cellStyle name="Normal 8 3 2 2 6 2 3" xfId="13768" xr:uid="{527A37F5-0660-4493-8476-C473BDE7587D}"/>
    <cellStyle name="Normal 8 3 2 2 6 3" xfId="6514" xr:uid="{00000000-0005-0000-0000-0000561D0000}"/>
    <cellStyle name="Normal 8 3 2 2 6 3 2" xfId="15840" xr:uid="{0CC9FEB2-2A5E-4B53-96A5-0D202D0315AA}"/>
    <cellStyle name="Normal 8 3 2 2 6 4" xfId="11623" xr:uid="{0283849A-A3F8-41AA-AC01-E451EA4B9EFF}"/>
    <cellStyle name="Normal 8 3 2 2 7" xfId="2644" xr:uid="{00000000-0005-0000-0000-0000571D0000}"/>
    <cellStyle name="Normal 8 3 2 2 7 2" xfId="6927" xr:uid="{00000000-0005-0000-0000-0000581D0000}"/>
    <cellStyle name="Normal 8 3 2 2 7 2 2" xfId="16253" xr:uid="{F20C1673-3A95-47F2-BD6C-778907CB33F0}"/>
    <cellStyle name="Normal 8 3 2 2 7 3" xfId="12036" xr:uid="{06B43658-506F-4E09-BC35-87F312164A69}"/>
    <cellStyle name="Normal 8 3 2 2 8" xfId="4862" xr:uid="{00000000-0005-0000-0000-0000591D0000}"/>
    <cellStyle name="Normal 8 3 2 2 8 2" xfId="14188" xr:uid="{A4115FD4-E23E-426B-9615-3BCC9A0D7C66}"/>
    <cellStyle name="Normal 8 3 2 2 9" xfId="8940" xr:uid="{63944EF0-E10A-4406-A758-3BD135650136}"/>
    <cellStyle name="Normal 8 3 2 2 9 2" xfId="18264" xr:uid="{73C6A767-AC03-4626-ABCC-51C3C9837954}"/>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0752E519-959A-4CFC-A379-FFC1CE14E027}"/>
    <cellStyle name="Normal 8 3 2 3 2 2 3" xfId="12531" xr:uid="{410488C1-71E4-4540-8F16-0E5B42036FA5}"/>
    <cellStyle name="Normal 8 3 2 3 2 3" xfId="5277" xr:uid="{00000000-0005-0000-0000-00005E1D0000}"/>
    <cellStyle name="Normal 8 3 2 3 2 3 2" xfId="14603" xr:uid="{906882A9-23AF-45A8-B46C-A58396AAD258}"/>
    <cellStyle name="Normal 8 3 2 3 2 4" xfId="9469" xr:uid="{7CA6C380-A6E9-4AF4-A29A-E40C8E9B5B5F}"/>
    <cellStyle name="Normal 8 3 2 3 2 4 2" xfId="18784" xr:uid="{A6C60E71-7291-4BA7-B85A-128B309C54D3}"/>
    <cellStyle name="Normal 8 3 2 3 2 5" xfId="10386" xr:uid="{6BA01024-CC05-4530-BC16-5A257A99020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CD1DBE67-0EA5-4FB3-8232-E2C6ACEA0BBA}"/>
    <cellStyle name="Normal 8 3 2 3 3 2 3" xfId="12944" xr:uid="{90900033-CDC3-402D-B171-2E02CF0ECADC}"/>
    <cellStyle name="Normal 8 3 2 3 3 3" xfId="5690" xr:uid="{00000000-0005-0000-0000-0000621D0000}"/>
    <cellStyle name="Normal 8 3 2 3 3 3 2" xfId="15016" xr:uid="{90EDEF9F-0A78-4E88-948E-D073FA6E0EFC}"/>
    <cellStyle name="Normal 8 3 2 3 3 4" xfId="10799" xr:uid="{96185F35-DE5D-4019-9AAD-372DD809853B}"/>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215454B5-C2FB-4561-B490-3E72F9B8DF91}"/>
    <cellStyle name="Normal 8 3 2 3 4 2 3" xfId="13357" xr:uid="{D120CC7F-CDAE-4175-AEDE-A74FFB524376}"/>
    <cellStyle name="Normal 8 3 2 3 4 3" xfId="6103" xr:uid="{00000000-0005-0000-0000-0000661D0000}"/>
    <cellStyle name="Normal 8 3 2 3 4 3 2" xfId="15429" xr:uid="{8299890F-3608-44CE-A12C-3981787C3280}"/>
    <cellStyle name="Normal 8 3 2 3 4 4" xfId="11212" xr:uid="{BC1083D3-1071-410E-A772-8CEBECC81D81}"/>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2EC60648-629D-45F1-A676-B939FD11EF4D}"/>
    <cellStyle name="Normal 8 3 2 3 5 2 3" xfId="13770" xr:uid="{D2C04251-0442-446F-A08B-9576CC01B6A4}"/>
    <cellStyle name="Normal 8 3 2 3 5 3" xfId="6516" xr:uid="{00000000-0005-0000-0000-00006A1D0000}"/>
    <cellStyle name="Normal 8 3 2 3 5 3 2" xfId="15842" xr:uid="{A0DDFB51-F91E-4329-9EE8-21C76945F69E}"/>
    <cellStyle name="Normal 8 3 2 3 5 4" xfId="11625" xr:uid="{4F49705D-2E41-4E38-BCE3-E3CC58A66CC5}"/>
    <cellStyle name="Normal 8 3 2 3 6" xfId="2646" xr:uid="{00000000-0005-0000-0000-00006B1D0000}"/>
    <cellStyle name="Normal 8 3 2 3 6 2" xfId="6929" xr:uid="{00000000-0005-0000-0000-00006C1D0000}"/>
    <cellStyle name="Normal 8 3 2 3 6 2 2" xfId="16255" xr:uid="{DBEC910B-F7B1-40BA-9701-F3B7EC8DFEAE}"/>
    <cellStyle name="Normal 8 3 2 3 6 3" xfId="12038" xr:uid="{9F1D8DD9-A319-4DBA-974B-6EF613843A4D}"/>
    <cellStyle name="Normal 8 3 2 3 7" xfId="4864" xr:uid="{00000000-0005-0000-0000-00006D1D0000}"/>
    <cellStyle name="Normal 8 3 2 3 7 2" xfId="14190" xr:uid="{70FC2A49-E1FA-42DD-993E-100762A45A16}"/>
    <cellStyle name="Normal 8 3 2 3 8" xfId="9044" xr:uid="{5ED49706-9CA9-4EE9-B01D-112CD1DB587C}"/>
    <cellStyle name="Normal 8 3 2 3 8 2" xfId="18368" xr:uid="{D0027CB4-603D-4839-A44E-1EC458CAB113}"/>
    <cellStyle name="Normal 8 3 2 3 9" xfId="9973" xr:uid="{EB3EDA70-5A5C-4B7A-BEC5-C9F3C16AE5B4}"/>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DA4C587D-FBD7-4944-8A85-E084F0392149}"/>
    <cellStyle name="Normal 8 3 2 4 2 3" xfId="12528" xr:uid="{1B1526E0-44DC-412B-A35D-458DF2C682B2}"/>
    <cellStyle name="Normal 8 3 2 4 3" xfId="5274" xr:uid="{00000000-0005-0000-0000-0000711D0000}"/>
    <cellStyle name="Normal 8 3 2 4 3 2" xfId="14600" xr:uid="{0E3BA668-0195-4EC9-BB02-D29FA1733EC1}"/>
    <cellStyle name="Normal 8 3 2 4 4" xfId="9262" xr:uid="{8842595C-CD28-4B10-9BE6-37883B4C2AA9}"/>
    <cellStyle name="Normal 8 3 2 4 4 2" xfId="18577" xr:uid="{5B35DFCC-6CF4-496F-8961-22B30EC62A08}"/>
    <cellStyle name="Normal 8 3 2 4 5" xfId="10383" xr:uid="{C50F4AF1-67F7-4FF3-B90B-E7BA61F319F0}"/>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58A4BA4E-2BEC-4A46-A960-C80072BADFC5}"/>
    <cellStyle name="Normal 8 3 2 5 2 3" xfId="12941" xr:uid="{31BAC5C8-2947-4A21-882F-F659E200E5D6}"/>
    <cellStyle name="Normal 8 3 2 5 3" xfId="5687" xr:uid="{00000000-0005-0000-0000-0000751D0000}"/>
    <cellStyle name="Normal 8 3 2 5 3 2" xfId="15013" xr:uid="{DFB646B5-7447-4388-8F9B-428A2EAF8124}"/>
    <cellStyle name="Normal 8 3 2 5 4" xfId="10796" xr:uid="{F875FDD2-D93E-498A-80BE-90225D9826DF}"/>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CD711DAD-D7B7-4C75-9C66-4379E1C667E3}"/>
    <cellStyle name="Normal 8 3 2 6 2 3" xfId="13354" xr:uid="{277EE4E5-7D3B-4744-BF7E-C5E3F92C3F56}"/>
    <cellStyle name="Normal 8 3 2 6 3" xfId="6100" xr:uid="{00000000-0005-0000-0000-0000791D0000}"/>
    <cellStyle name="Normal 8 3 2 6 3 2" xfId="15426" xr:uid="{CDD88F08-A390-40FE-89FC-37784AA38D8F}"/>
    <cellStyle name="Normal 8 3 2 6 4" xfId="11209" xr:uid="{D629439D-8F7F-4155-8EC7-89E4671041CC}"/>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F4B1B77A-23C6-431E-B5AC-4770809A84F9}"/>
    <cellStyle name="Normal 8 3 2 7 2 3" xfId="13767" xr:uid="{BEBDCC07-4A1C-4746-A40A-82A7FCCC083C}"/>
    <cellStyle name="Normal 8 3 2 7 3" xfId="6513" xr:uid="{00000000-0005-0000-0000-00007D1D0000}"/>
    <cellStyle name="Normal 8 3 2 7 3 2" xfId="15839" xr:uid="{607843FE-0EF4-4CC9-BBC9-56F2D28B6072}"/>
    <cellStyle name="Normal 8 3 2 7 4" xfId="11622" xr:uid="{F12E2605-8A06-4F9C-87B2-7BF46F42EF94}"/>
    <cellStyle name="Normal 8 3 2 8" xfId="2643" xr:uid="{00000000-0005-0000-0000-00007E1D0000}"/>
    <cellStyle name="Normal 8 3 2 8 2" xfId="6926" xr:uid="{00000000-0005-0000-0000-00007F1D0000}"/>
    <cellStyle name="Normal 8 3 2 8 2 2" xfId="16252" xr:uid="{09511ABD-3ED7-4F27-96F3-AF3B5870A7E9}"/>
    <cellStyle name="Normal 8 3 2 8 3" xfId="12035" xr:uid="{6D66B243-08C8-4A6D-AD6D-5C0D0B695813}"/>
    <cellStyle name="Normal 8 3 2 9" xfId="4861" xr:uid="{00000000-0005-0000-0000-0000801D0000}"/>
    <cellStyle name="Normal 8 3 2 9 2" xfId="14187" xr:uid="{CBFC243B-D636-48DF-8843-E7C5D8B246A5}"/>
    <cellStyle name="Normal 8 3 3" xfId="500" xr:uid="{00000000-0005-0000-0000-0000811D0000}"/>
    <cellStyle name="Normal 8 3 3 10" xfId="9974" xr:uid="{AB401555-3C27-45AB-9BE0-5EEF299ACCF6}"/>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EA28A1DB-B5E4-45BC-83D3-D8EF9AAE5F61}"/>
    <cellStyle name="Normal 8 3 3 2 2 2 3" xfId="12533" xr:uid="{4A1D23F1-98C5-43DF-A6CE-22086FFCEE37}"/>
    <cellStyle name="Normal 8 3 3 2 2 3" xfId="5279" xr:uid="{00000000-0005-0000-0000-0000861D0000}"/>
    <cellStyle name="Normal 8 3 3 2 2 3 2" xfId="14605" xr:uid="{8862C7D9-76E8-45E3-858F-9E8488E0A86A}"/>
    <cellStyle name="Normal 8 3 3 2 2 4" xfId="9509" xr:uid="{3B4378D3-7C51-4B91-822B-758528BFF352}"/>
    <cellStyle name="Normal 8 3 3 2 2 4 2" xfId="18824" xr:uid="{4E933971-D417-4CFD-86E5-03A95D6E31C8}"/>
    <cellStyle name="Normal 8 3 3 2 2 5" xfId="10388" xr:uid="{6EEEC61B-8CDD-44FE-81A1-0B02E19C630E}"/>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FC2BE928-F083-4303-9827-8248C798E0A5}"/>
    <cellStyle name="Normal 8 3 3 2 3 2 3" xfId="12946" xr:uid="{965207EE-8C62-42CA-86CE-2054D26B3B15}"/>
    <cellStyle name="Normal 8 3 3 2 3 3" xfId="5692" xr:uid="{00000000-0005-0000-0000-00008A1D0000}"/>
    <cellStyle name="Normal 8 3 3 2 3 3 2" xfId="15018" xr:uid="{C8F68242-CCEC-4B93-B43F-45ADC3B06DB7}"/>
    <cellStyle name="Normal 8 3 3 2 3 4" xfId="10801" xr:uid="{F3E3C7D4-7058-4332-A2CC-149F17080AA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920A78DB-E1B7-4A2E-8589-0DB7999CE663}"/>
    <cellStyle name="Normal 8 3 3 2 4 2 3" xfId="13359" xr:uid="{2A32FE67-AF4E-4595-9688-7173FB371719}"/>
    <cellStyle name="Normal 8 3 3 2 4 3" xfId="6105" xr:uid="{00000000-0005-0000-0000-00008E1D0000}"/>
    <cellStyle name="Normal 8 3 3 2 4 3 2" xfId="15431" xr:uid="{9C030607-227B-42F3-8181-E51A50185321}"/>
    <cellStyle name="Normal 8 3 3 2 4 4" xfId="11214" xr:uid="{FED56813-74E0-4DCD-A3AB-E437CC35C7D1}"/>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38CDAFE1-F938-4148-BEF9-643D41423BE1}"/>
    <cellStyle name="Normal 8 3 3 2 5 2 3" xfId="13772" xr:uid="{04EEE24C-36EA-4089-8FBC-CA0D1DBE04BD}"/>
    <cellStyle name="Normal 8 3 3 2 5 3" xfId="6518" xr:uid="{00000000-0005-0000-0000-0000921D0000}"/>
    <cellStyle name="Normal 8 3 3 2 5 3 2" xfId="15844" xr:uid="{134A806D-AA67-498E-94AC-57001E4175CC}"/>
    <cellStyle name="Normal 8 3 3 2 5 4" xfId="11627" xr:uid="{3F394419-244E-4C2E-BCF7-D8570368142C}"/>
    <cellStyle name="Normal 8 3 3 2 6" xfId="2648" xr:uid="{00000000-0005-0000-0000-0000931D0000}"/>
    <cellStyle name="Normal 8 3 3 2 6 2" xfId="6931" xr:uid="{00000000-0005-0000-0000-0000941D0000}"/>
    <cellStyle name="Normal 8 3 3 2 6 2 2" xfId="16257" xr:uid="{5FA7B0E1-BBE7-4697-A9C5-CA42152C0D10}"/>
    <cellStyle name="Normal 8 3 3 2 6 3" xfId="12040" xr:uid="{19EE6119-5329-47CB-80B8-B4BB620B899C}"/>
    <cellStyle name="Normal 8 3 3 2 7" xfId="4866" xr:uid="{00000000-0005-0000-0000-0000951D0000}"/>
    <cellStyle name="Normal 8 3 3 2 7 2" xfId="14192" xr:uid="{1B87C7A7-5AAF-4466-AFF0-1DFE7555E87C}"/>
    <cellStyle name="Normal 8 3 3 2 8" xfId="9084" xr:uid="{94243AB7-0454-4C95-8E94-054E46718167}"/>
    <cellStyle name="Normal 8 3 3 2 8 2" xfId="18408" xr:uid="{44ADAE1C-0E8D-4174-A3EF-963502859192}"/>
    <cellStyle name="Normal 8 3 3 2 9" xfId="9975" xr:uid="{B730C16B-9B38-425E-82A5-A1A015B11635}"/>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D5F0A7CA-00C5-4B28-A3F6-E6D5F633F59C}"/>
    <cellStyle name="Normal 8 3 3 3 2 3" xfId="12532" xr:uid="{1CF6AD52-30C6-4DF6-AD90-4DB775C0089C}"/>
    <cellStyle name="Normal 8 3 3 3 3" xfId="5278" xr:uid="{00000000-0005-0000-0000-0000991D0000}"/>
    <cellStyle name="Normal 8 3 3 3 3 2" xfId="14604" xr:uid="{7572E118-2A75-42F0-AD7E-1CBC5395A338}"/>
    <cellStyle name="Normal 8 3 3 3 4" xfId="9302" xr:uid="{3985B908-2B56-4F9B-BEA3-8962926FD004}"/>
    <cellStyle name="Normal 8 3 3 3 4 2" xfId="18617" xr:uid="{A7D97FF9-C001-4411-8D93-91578D14DDB0}"/>
    <cellStyle name="Normal 8 3 3 3 5" xfId="10387" xr:uid="{02E54F83-6643-4FF6-AA09-E65AF059B70D}"/>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9AED1FE6-10E2-46F0-BE4A-C22663519378}"/>
    <cellStyle name="Normal 8 3 3 4 2 3" xfId="12945" xr:uid="{766B6676-FE7D-439B-B359-4980F7303348}"/>
    <cellStyle name="Normal 8 3 3 4 3" xfId="5691" xr:uid="{00000000-0005-0000-0000-00009D1D0000}"/>
    <cellStyle name="Normal 8 3 3 4 3 2" xfId="15017" xr:uid="{B99DBFE8-06F0-4E6A-BC8B-FBA5F3B245B7}"/>
    <cellStyle name="Normal 8 3 3 4 4" xfId="10800" xr:uid="{F90AF53C-EC9B-4B1A-9441-1EBBA4922050}"/>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FC719BB2-84EC-4E64-B308-94BC00E444F9}"/>
    <cellStyle name="Normal 8 3 3 5 2 3" xfId="13358" xr:uid="{602FD0CD-DD73-401B-AA03-A41646DC3EFA}"/>
    <cellStyle name="Normal 8 3 3 5 3" xfId="6104" xr:uid="{00000000-0005-0000-0000-0000A11D0000}"/>
    <cellStyle name="Normal 8 3 3 5 3 2" xfId="15430" xr:uid="{9E55E8B3-15C6-490E-A5F8-9313CDE24C81}"/>
    <cellStyle name="Normal 8 3 3 5 4" xfId="11213" xr:uid="{03892CF5-EA47-484E-A267-86124CDD48D9}"/>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81835A08-059E-4D1C-8D0A-F337E7F0A7CB}"/>
    <cellStyle name="Normal 8 3 3 6 2 3" xfId="13771" xr:uid="{5FBC471C-CDE0-41F6-AD8D-D20C9E91DFC2}"/>
    <cellStyle name="Normal 8 3 3 6 3" xfId="6517" xr:uid="{00000000-0005-0000-0000-0000A51D0000}"/>
    <cellStyle name="Normal 8 3 3 6 3 2" xfId="15843" xr:uid="{D283F24C-3C18-485D-BD2C-709E14310D3E}"/>
    <cellStyle name="Normal 8 3 3 6 4" xfId="11626" xr:uid="{4F20AC0C-9E46-4379-8884-96084EC1FC8F}"/>
    <cellStyle name="Normal 8 3 3 7" xfId="2647" xr:uid="{00000000-0005-0000-0000-0000A61D0000}"/>
    <cellStyle name="Normal 8 3 3 7 2" xfId="6930" xr:uid="{00000000-0005-0000-0000-0000A71D0000}"/>
    <cellStyle name="Normal 8 3 3 7 2 2" xfId="16256" xr:uid="{786E604C-9050-4DBD-8519-822166B970DC}"/>
    <cellStyle name="Normal 8 3 3 7 3" xfId="12039" xr:uid="{1AC0A61B-B18D-4D32-AA25-295BB25F4E83}"/>
    <cellStyle name="Normal 8 3 3 8" xfId="4865" xr:uid="{00000000-0005-0000-0000-0000A81D0000}"/>
    <cellStyle name="Normal 8 3 3 8 2" xfId="14191" xr:uid="{EF674C54-99CC-43AC-A9C5-02E94DD10BAA}"/>
    <cellStyle name="Normal 8 3 3 9" xfId="8877" xr:uid="{4F8231E3-800E-43E7-B1B6-9633EBFFFFE1}"/>
    <cellStyle name="Normal 8 3 3 9 2" xfId="18201" xr:uid="{42E3C2C4-D710-40FA-907D-ED04B66B39E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D0FB4AFA-83D6-4BB4-A0D6-6FFECA3C8B72}"/>
    <cellStyle name="Normal 8 3 4 2 2 3" xfId="12534" xr:uid="{EA464F14-3818-4B02-9A85-BCD406495D9B}"/>
    <cellStyle name="Normal 8 3 4 2 3" xfId="5280" xr:uid="{00000000-0005-0000-0000-0000AD1D0000}"/>
    <cellStyle name="Normal 8 3 4 2 3 2" xfId="14606" xr:uid="{628D3A94-77B0-4011-8EC3-2353273C70C7}"/>
    <cellStyle name="Normal 8 3 4 2 4" xfId="9406" xr:uid="{8751BE45-E47B-4A0A-B0DE-04C14FAEA88D}"/>
    <cellStyle name="Normal 8 3 4 2 4 2" xfId="18721" xr:uid="{86335D71-69FF-4207-A54F-CAF0146A60B3}"/>
    <cellStyle name="Normal 8 3 4 2 5" xfId="10389" xr:uid="{49BBEFB5-56F6-48A3-BCBD-7CB4BB94B314}"/>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C050C3EF-857D-4DD5-9AE5-1C28AC29BCF7}"/>
    <cellStyle name="Normal 8 3 4 3 2 3" xfId="12947" xr:uid="{1FB64CC2-23E1-4EE8-B66E-42EBC10770A2}"/>
    <cellStyle name="Normal 8 3 4 3 3" xfId="5693" xr:uid="{00000000-0005-0000-0000-0000B11D0000}"/>
    <cellStyle name="Normal 8 3 4 3 3 2" xfId="15019" xr:uid="{3BAE8ABD-725D-44D1-9637-2882AC9EDAE0}"/>
    <cellStyle name="Normal 8 3 4 3 4" xfId="10802" xr:uid="{72839027-59F9-473E-8C51-62F266E41FFB}"/>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A759EE44-EBF3-4E87-8303-DBAA77238510}"/>
    <cellStyle name="Normal 8 3 4 4 2 3" xfId="13360" xr:uid="{036822E2-E21D-4387-9493-2E8102826D7C}"/>
    <cellStyle name="Normal 8 3 4 4 3" xfId="6106" xr:uid="{00000000-0005-0000-0000-0000B51D0000}"/>
    <cellStyle name="Normal 8 3 4 4 3 2" xfId="15432" xr:uid="{E5163694-9156-4392-AC12-805DE21B86E8}"/>
    <cellStyle name="Normal 8 3 4 4 4" xfId="11215" xr:uid="{78498059-7C8A-46C5-A443-DDA3EFC855B1}"/>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6AFAC09C-0F1A-494E-9301-4A8A6C5869E3}"/>
    <cellStyle name="Normal 8 3 4 5 2 3" xfId="13773" xr:uid="{15F7C3BB-C574-4FA3-BD1F-84406650B455}"/>
    <cellStyle name="Normal 8 3 4 5 3" xfId="6519" xr:uid="{00000000-0005-0000-0000-0000B91D0000}"/>
    <cellStyle name="Normal 8 3 4 5 3 2" xfId="15845" xr:uid="{6BA9314B-C498-4A0C-A665-E9C375DC866C}"/>
    <cellStyle name="Normal 8 3 4 5 4" xfId="11628" xr:uid="{59F956C2-4308-487F-BD44-C3D81E153818}"/>
    <cellStyle name="Normal 8 3 4 6" xfId="2649" xr:uid="{00000000-0005-0000-0000-0000BA1D0000}"/>
    <cellStyle name="Normal 8 3 4 6 2" xfId="6932" xr:uid="{00000000-0005-0000-0000-0000BB1D0000}"/>
    <cellStyle name="Normal 8 3 4 6 2 2" xfId="16258" xr:uid="{6283C2CD-AABA-4D41-9259-C8499FA8F478}"/>
    <cellStyle name="Normal 8 3 4 6 3" xfId="12041" xr:uid="{20440F89-8ACF-4ED8-B132-41C907EA25DE}"/>
    <cellStyle name="Normal 8 3 4 7" xfId="4867" xr:uid="{00000000-0005-0000-0000-0000BC1D0000}"/>
    <cellStyle name="Normal 8 3 4 7 2" xfId="14193" xr:uid="{65AF4D47-1A85-4E05-BB7B-A9E255D72C4F}"/>
    <cellStyle name="Normal 8 3 4 8" xfId="8981" xr:uid="{BEE184E9-ECE6-4107-B29A-CC8BC7F28FA3}"/>
    <cellStyle name="Normal 8 3 4 8 2" xfId="18305" xr:uid="{564C1297-C0B8-4A7B-B115-41D56CEF829F}"/>
    <cellStyle name="Normal 8 3 4 9" xfId="9976" xr:uid="{F3927A05-69EB-475F-9F60-4922F4DA3574}"/>
    <cellStyle name="Normal 8 3 5" xfId="962" xr:uid="{00000000-0005-0000-0000-0000BD1D0000}"/>
    <cellStyle name="Normal 8 3 5 2" xfId="3196" xr:uid="{00000000-0005-0000-0000-0000BE1D0000}"/>
    <cellStyle name="Normal 8 3 5 2 2" xfId="7418" xr:uid="{00000000-0005-0000-0000-0000BF1D0000}"/>
    <cellStyle name="Normal 8 3 5 2 2 2" xfId="16744" xr:uid="{147EECBD-5FF9-46B0-A5DB-3460EA60DFA6}"/>
    <cellStyle name="Normal 8 3 5 2 3" xfId="12527" xr:uid="{F522AA83-B578-4659-A878-0D55A6A352BD}"/>
    <cellStyle name="Normal 8 3 5 3" xfId="5273" xr:uid="{00000000-0005-0000-0000-0000C01D0000}"/>
    <cellStyle name="Normal 8 3 5 3 2" xfId="14599" xr:uid="{9C5DD322-4CF4-4735-B010-9A995FF515EF}"/>
    <cellStyle name="Normal 8 3 5 4" xfId="9198" xr:uid="{FA5A5C79-C3AC-4E17-9344-90C4E411EE0B}"/>
    <cellStyle name="Normal 8 3 5 4 2" xfId="18514" xr:uid="{D4F16A5B-6D20-4A90-B5BF-669FB15B916D}"/>
    <cellStyle name="Normal 8 3 5 5" xfId="10382" xr:uid="{5106DF52-501F-4371-9A03-1878186E1A0A}"/>
    <cellStyle name="Normal 8 3 6" xfId="1379" xr:uid="{00000000-0005-0000-0000-0000C11D0000}"/>
    <cellStyle name="Normal 8 3 6 2" xfId="3609" xr:uid="{00000000-0005-0000-0000-0000C21D0000}"/>
    <cellStyle name="Normal 8 3 6 2 2" xfId="7831" xr:uid="{00000000-0005-0000-0000-0000C31D0000}"/>
    <cellStyle name="Normal 8 3 6 2 2 2" xfId="17157" xr:uid="{E6D83DD0-4B00-4AE5-8FFB-B11B4EF586BB}"/>
    <cellStyle name="Normal 8 3 6 2 3" xfId="12940" xr:uid="{2524BC84-CFD6-4347-8C1F-2DCC50E207C2}"/>
    <cellStyle name="Normal 8 3 6 3" xfId="5686" xr:uid="{00000000-0005-0000-0000-0000C41D0000}"/>
    <cellStyle name="Normal 8 3 6 3 2" xfId="15012" xr:uid="{C63724EA-964A-44B1-B18B-45B2D3B509B7}"/>
    <cellStyle name="Normal 8 3 6 4" xfId="10795" xr:uid="{9037199A-A35F-4162-AAD1-6A1EA4FA56C7}"/>
    <cellStyle name="Normal 8 3 7" xfId="1792" xr:uid="{00000000-0005-0000-0000-0000C51D0000}"/>
    <cellStyle name="Normal 8 3 7 2" xfId="4022" xr:uid="{00000000-0005-0000-0000-0000C61D0000}"/>
    <cellStyle name="Normal 8 3 7 2 2" xfId="8244" xr:uid="{00000000-0005-0000-0000-0000C71D0000}"/>
    <cellStyle name="Normal 8 3 7 2 2 2" xfId="17570" xr:uid="{CEA211B6-EC16-4C14-BF0E-4D1702F5C687}"/>
    <cellStyle name="Normal 8 3 7 2 3" xfId="13353" xr:uid="{B3E160A3-F385-4A44-9C51-221E6D63D79E}"/>
    <cellStyle name="Normal 8 3 7 3" xfId="6099" xr:uid="{00000000-0005-0000-0000-0000C81D0000}"/>
    <cellStyle name="Normal 8 3 7 3 2" xfId="15425" xr:uid="{7CFB91DB-5106-45D2-A427-89559AF135F4}"/>
    <cellStyle name="Normal 8 3 7 4" xfId="11208" xr:uid="{F755F0CA-E962-4BD8-A873-ACD4C4077CDB}"/>
    <cellStyle name="Normal 8 3 8" xfId="2206" xr:uid="{00000000-0005-0000-0000-0000C91D0000}"/>
    <cellStyle name="Normal 8 3 8 2" xfId="4435" xr:uid="{00000000-0005-0000-0000-0000CA1D0000}"/>
    <cellStyle name="Normal 8 3 8 2 2" xfId="8657" xr:uid="{00000000-0005-0000-0000-0000CB1D0000}"/>
    <cellStyle name="Normal 8 3 8 2 2 2" xfId="17983" xr:uid="{E45DA1DB-F783-4898-A410-BE294F3136C0}"/>
    <cellStyle name="Normal 8 3 8 2 3" xfId="13766" xr:uid="{778C1A2B-03C6-477F-9860-0394413024D5}"/>
    <cellStyle name="Normal 8 3 8 3" xfId="6512" xr:uid="{00000000-0005-0000-0000-0000CC1D0000}"/>
    <cellStyle name="Normal 8 3 8 3 2" xfId="15838" xr:uid="{3F1082B8-2D9D-443E-B985-5BD04CEFF901}"/>
    <cellStyle name="Normal 8 3 8 4" xfId="11621" xr:uid="{729481CF-472B-45C3-86F5-A63947F5D379}"/>
    <cellStyle name="Normal 8 3 9" xfId="2642" xr:uid="{00000000-0005-0000-0000-0000CD1D0000}"/>
    <cellStyle name="Normal 8 3 9 2" xfId="6925" xr:uid="{00000000-0005-0000-0000-0000CE1D0000}"/>
    <cellStyle name="Normal 8 3 9 2 2" xfId="16251" xr:uid="{E1A9B0FD-D610-4766-BB32-E129B6C0B119}"/>
    <cellStyle name="Normal 8 3 9 3" xfId="12034" xr:uid="{82A69DBF-E7B0-4A9F-A6EF-3A229C7833D8}"/>
    <cellStyle name="Normal 8 4" xfId="503" xr:uid="{00000000-0005-0000-0000-0000CF1D0000}"/>
    <cellStyle name="Normal 8 4 10" xfId="8834" xr:uid="{78848A4E-06FA-4050-B553-A3A7DEA1B047}"/>
    <cellStyle name="Normal 8 4 10 2" xfId="18158" xr:uid="{657F0675-55E5-4DC1-A8FF-8658F9B6DDA8}"/>
    <cellStyle name="Normal 8 4 11" xfId="9977" xr:uid="{EF68EC3B-F776-48E9-917E-85360BCC83B1}"/>
    <cellStyle name="Normal 8 4 2" xfId="504" xr:uid="{00000000-0005-0000-0000-0000D01D0000}"/>
    <cellStyle name="Normal 8 4 2 10" xfId="9978" xr:uid="{BF44AE3A-1738-454F-96D9-3F6EBCED611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0A277DE2-0776-4804-A130-17E18BB45C67}"/>
    <cellStyle name="Normal 8 4 2 2 2 2 3" xfId="12537" xr:uid="{F4D41D73-ACF7-49EE-8B16-8078926FEB2C}"/>
    <cellStyle name="Normal 8 4 2 2 2 3" xfId="5283" xr:uid="{00000000-0005-0000-0000-0000D51D0000}"/>
    <cellStyle name="Normal 8 4 2 2 2 3 2" xfId="14609" xr:uid="{B8993997-A200-4A51-BE8D-16C5153546A3}"/>
    <cellStyle name="Normal 8 4 2 2 2 4" xfId="9569" xr:uid="{F21122F8-27BB-4D46-891E-281F736F5353}"/>
    <cellStyle name="Normal 8 4 2 2 2 4 2" xfId="18884" xr:uid="{6330CF16-6E89-450D-91A9-A22EE20EB985}"/>
    <cellStyle name="Normal 8 4 2 2 2 5" xfId="10392" xr:uid="{2CB30FCA-D3C5-43F8-9D64-3E3CFA5E7FD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9CE0E79C-197D-4CBD-BE43-BB1A1FA26970}"/>
    <cellStyle name="Normal 8 4 2 2 3 2 3" xfId="12950" xr:uid="{B9D0795D-0291-42F0-B7BC-FEFAECBC13B5}"/>
    <cellStyle name="Normal 8 4 2 2 3 3" xfId="5696" xr:uid="{00000000-0005-0000-0000-0000D91D0000}"/>
    <cellStyle name="Normal 8 4 2 2 3 3 2" xfId="15022" xr:uid="{BA5B6D30-21CE-4449-8232-752698C54202}"/>
    <cellStyle name="Normal 8 4 2 2 3 4" xfId="10805" xr:uid="{15955D82-F9C5-4041-A631-F2CE679A101F}"/>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68B9A44C-B91E-4BEA-9EA8-22D8D4195087}"/>
    <cellStyle name="Normal 8 4 2 2 4 2 3" xfId="13363" xr:uid="{171E3251-A028-4791-B4EB-9EA507A57D6C}"/>
    <cellStyle name="Normal 8 4 2 2 4 3" xfId="6109" xr:uid="{00000000-0005-0000-0000-0000DD1D0000}"/>
    <cellStyle name="Normal 8 4 2 2 4 3 2" xfId="15435" xr:uid="{56BF4105-2D4D-496C-8423-60BD1F7A191D}"/>
    <cellStyle name="Normal 8 4 2 2 4 4" xfId="11218" xr:uid="{CAC5197E-AC63-4FD3-9CC1-479623AC244F}"/>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286E77B1-A77E-4E37-A156-CF4288104EF5}"/>
    <cellStyle name="Normal 8 4 2 2 5 2 3" xfId="13776" xr:uid="{8159DE16-6796-4F63-9D49-D45266856275}"/>
    <cellStyle name="Normal 8 4 2 2 5 3" xfId="6522" xr:uid="{00000000-0005-0000-0000-0000E11D0000}"/>
    <cellStyle name="Normal 8 4 2 2 5 3 2" xfId="15848" xr:uid="{F0AD2A6A-5F8F-4506-9D86-7860EC1395C3}"/>
    <cellStyle name="Normal 8 4 2 2 5 4" xfId="11631" xr:uid="{8EF9E983-F4DF-4CD0-8A6A-C38DF10FFA75}"/>
    <cellStyle name="Normal 8 4 2 2 6" xfId="2652" xr:uid="{00000000-0005-0000-0000-0000E21D0000}"/>
    <cellStyle name="Normal 8 4 2 2 6 2" xfId="6935" xr:uid="{00000000-0005-0000-0000-0000E31D0000}"/>
    <cellStyle name="Normal 8 4 2 2 6 2 2" xfId="16261" xr:uid="{007486BD-D774-4981-B4E2-FC8D5C320530}"/>
    <cellStyle name="Normal 8 4 2 2 6 3" xfId="12044" xr:uid="{0B7FCB91-FF29-4DC3-9315-013DC86059C7}"/>
    <cellStyle name="Normal 8 4 2 2 7" xfId="4870" xr:uid="{00000000-0005-0000-0000-0000E41D0000}"/>
    <cellStyle name="Normal 8 4 2 2 7 2" xfId="14196" xr:uid="{8A9CE47F-D677-4CA2-877C-FEDC0C6E63E6}"/>
    <cellStyle name="Normal 8 4 2 2 8" xfId="9144" xr:uid="{EF6B0978-3DE8-47DC-990C-0B47AAC8F1DC}"/>
    <cellStyle name="Normal 8 4 2 2 8 2" xfId="18468" xr:uid="{0C6A2EA9-486B-44E5-9534-947A1B77027C}"/>
    <cellStyle name="Normal 8 4 2 2 9" xfId="9979" xr:uid="{DFB7F3B2-F3F4-4049-8439-B698F9C73C10}"/>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EAE5970A-618D-4947-8B60-957ED3A88E31}"/>
    <cellStyle name="Normal 8 4 2 3 2 3" xfId="12536" xr:uid="{655A096F-E173-43EF-89F7-F3C6A4EF1129}"/>
    <cellStyle name="Normal 8 4 2 3 3" xfId="5282" xr:uid="{00000000-0005-0000-0000-0000E81D0000}"/>
    <cellStyle name="Normal 8 4 2 3 3 2" xfId="14608" xr:uid="{5E15264E-9F36-4D75-A7D8-8E01A08A1198}"/>
    <cellStyle name="Normal 8 4 2 3 4" xfId="9362" xr:uid="{206856BB-FDDB-4012-ABFE-5E991E477A14}"/>
    <cellStyle name="Normal 8 4 2 3 4 2" xfId="18677" xr:uid="{0BACC25E-6A94-40F3-8714-B120C226EC0F}"/>
    <cellStyle name="Normal 8 4 2 3 5" xfId="10391" xr:uid="{4B3D4FBC-0267-4C7D-A14E-89AF19686C4F}"/>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BC6F7BAE-472E-44AD-865E-59ECD322CE7D}"/>
    <cellStyle name="Normal 8 4 2 4 2 3" xfId="12949" xr:uid="{10310DE1-8D91-44FE-93E7-8DAA435D2CA0}"/>
    <cellStyle name="Normal 8 4 2 4 3" xfId="5695" xr:uid="{00000000-0005-0000-0000-0000EC1D0000}"/>
    <cellStyle name="Normal 8 4 2 4 3 2" xfId="15021" xr:uid="{F90ADF25-DB28-40A8-9F46-169ABF83876C}"/>
    <cellStyle name="Normal 8 4 2 4 4" xfId="10804" xr:uid="{9B8958F6-B352-4E4F-A3F7-5E77B0479193}"/>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8671FF65-B1F3-4AA2-9370-A74DF5BF5B64}"/>
    <cellStyle name="Normal 8 4 2 5 2 3" xfId="13362" xr:uid="{3725CFEE-A7C4-475E-B295-7B032D63E081}"/>
    <cellStyle name="Normal 8 4 2 5 3" xfId="6108" xr:uid="{00000000-0005-0000-0000-0000F01D0000}"/>
    <cellStyle name="Normal 8 4 2 5 3 2" xfId="15434" xr:uid="{5B4921BD-FFEB-4FBB-85C5-268F0F5FB9AF}"/>
    <cellStyle name="Normal 8 4 2 5 4" xfId="11217" xr:uid="{8B190DD5-1A86-411F-967B-54517DD283B2}"/>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30CDE414-D3B5-413A-A55D-69A95280771D}"/>
    <cellStyle name="Normal 8 4 2 6 2 3" xfId="13775" xr:uid="{99434EF7-38AD-420C-8CEF-725A2097304C}"/>
    <cellStyle name="Normal 8 4 2 6 3" xfId="6521" xr:uid="{00000000-0005-0000-0000-0000F41D0000}"/>
    <cellStyle name="Normal 8 4 2 6 3 2" xfId="15847" xr:uid="{E0A26717-4A42-4FE6-887B-865F4627474A}"/>
    <cellStyle name="Normal 8 4 2 6 4" xfId="11630" xr:uid="{03FC120D-64D1-4BA3-A898-574A4ED71BE7}"/>
    <cellStyle name="Normal 8 4 2 7" xfId="2651" xr:uid="{00000000-0005-0000-0000-0000F51D0000}"/>
    <cellStyle name="Normal 8 4 2 7 2" xfId="6934" xr:uid="{00000000-0005-0000-0000-0000F61D0000}"/>
    <cellStyle name="Normal 8 4 2 7 2 2" xfId="16260" xr:uid="{96F06E9F-C08E-46BA-AF96-7CCB1BF29CBD}"/>
    <cellStyle name="Normal 8 4 2 7 3" xfId="12043" xr:uid="{AD4AD07E-6202-42FA-AE15-49D7E1ADE038}"/>
    <cellStyle name="Normal 8 4 2 8" xfId="4869" xr:uid="{00000000-0005-0000-0000-0000F71D0000}"/>
    <cellStyle name="Normal 8 4 2 8 2" xfId="14195" xr:uid="{0D970244-B804-4534-9FFE-8777F7D3C0DA}"/>
    <cellStyle name="Normal 8 4 2 9" xfId="8937" xr:uid="{B425CDA4-C1C1-4A6C-AB85-CE28E324A88F}"/>
    <cellStyle name="Normal 8 4 2 9 2" xfId="18261" xr:uid="{548144EE-A26D-42CA-8248-020206BED7CD}"/>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247FB328-6120-4F82-B39B-AB41BF81640E}"/>
    <cellStyle name="Normal 8 4 3 2 2 3" xfId="12538" xr:uid="{E33C8A0B-493C-41A6-97DC-CDABC5A288B1}"/>
    <cellStyle name="Normal 8 4 3 2 3" xfId="5284" xr:uid="{00000000-0005-0000-0000-0000FC1D0000}"/>
    <cellStyle name="Normal 8 4 3 2 3 2" xfId="14610" xr:uid="{123C35EF-5562-4FB4-8A5C-729934A66E8D}"/>
    <cellStyle name="Normal 8 4 3 2 4" xfId="9466" xr:uid="{4C42748F-6D34-4D0D-8AE2-FFD5C0CBE26F}"/>
    <cellStyle name="Normal 8 4 3 2 4 2" xfId="18781" xr:uid="{7B86CEDA-DA5A-4874-9041-F8C9AF5E5322}"/>
    <cellStyle name="Normal 8 4 3 2 5" xfId="10393" xr:uid="{DEBDA771-A5DF-418B-9DE5-7A7483C05BBA}"/>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46CA90B4-1055-49C3-ABD9-449764EE8822}"/>
    <cellStyle name="Normal 8 4 3 3 2 3" xfId="12951" xr:uid="{2C975892-2AAB-4AC1-BCE5-CED3C352E6E1}"/>
    <cellStyle name="Normal 8 4 3 3 3" xfId="5697" xr:uid="{00000000-0005-0000-0000-0000001E0000}"/>
    <cellStyle name="Normal 8 4 3 3 3 2" xfId="15023" xr:uid="{E163E747-49EE-43F1-A59A-4CE7784319F0}"/>
    <cellStyle name="Normal 8 4 3 3 4" xfId="10806" xr:uid="{57B2FB1E-3945-4619-82C3-5D446E94B7AD}"/>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F93CB755-3E77-4CB2-8599-06654F608068}"/>
    <cellStyle name="Normal 8 4 3 4 2 3" xfId="13364" xr:uid="{9F2F0052-66E1-48A0-A683-1D8EB19D7785}"/>
    <cellStyle name="Normal 8 4 3 4 3" xfId="6110" xr:uid="{00000000-0005-0000-0000-0000041E0000}"/>
    <cellStyle name="Normal 8 4 3 4 3 2" xfId="15436" xr:uid="{6E5EE817-F69C-491B-955F-614F060FAAFE}"/>
    <cellStyle name="Normal 8 4 3 4 4" xfId="11219" xr:uid="{9C7875FD-4A70-4AA9-87F5-6E54E4468CFF}"/>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270D619B-21FC-412E-9DB9-9D456062FCF4}"/>
    <cellStyle name="Normal 8 4 3 5 2 3" xfId="13777" xr:uid="{EA66977C-CCBF-4C50-9E12-D080C7053654}"/>
    <cellStyle name="Normal 8 4 3 5 3" xfId="6523" xr:uid="{00000000-0005-0000-0000-0000081E0000}"/>
    <cellStyle name="Normal 8 4 3 5 3 2" xfId="15849" xr:uid="{F3A90BA6-F3E8-45A6-8013-63FBC97C22EE}"/>
    <cellStyle name="Normal 8 4 3 5 4" xfId="11632" xr:uid="{7333E105-5587-4EF5-B7FC-D0BB559FBEF9}"/>
    <cellStyle name="Normal 8 4 3 6" xfId="2653" xr:uid="{00000000-0005-0000-0000-0000091E0000}"/>
    <cellStyle name="Normal 8 4 3 6 2" xfId="6936" xr:uid="{00000000-0005-0000-0000-00000A1E0000}"/>
    <cellStyle name="Normal 8 4 3 6 2 2" xfId="16262" xr:uid="{E58AA3AC-2706-4229-8076-CC076E3D9D50}"/>
    <cellStyle name="Normal 8 4 3 6 3" xfId="12045" xr:uid="{39F311BC-7A71-427F-BE05-A953BB7B5D4D}"/>
    <cellStyle name="Normal 8 4 3 7" xfId="4871" xr:uid="{00000000-0005-0000-0000-00000B1E0000}"/>
    <cellStyle name="Normal 8 4 3 7 2" xfId="14197" xr:uid="{729D413E-2967-441E-A771-46D69BAFE090}"/>
    <cellStyle name="Normal 8 4 3 8" xfId="9041" xr:uid="{3EA15F1E-D38A-4BB8-BEC6-98D9A94BB79B}"/>
    <cellStyle name="Normal 8 4 3 8 2" xfId="18365" xr:uid="{F894FE91-364E-4713-8C06-E7A00CC20097}"/>
    <cellStyle name="Normal 8 4 3 9" xfId="9980" xr:uid="{C604B0EE-BBAF-4853-84DE-F0E60CDB9BD9}"/>
    <cellStyle name="Normal 8 4 4" xfId="970" xr:uid="{00000000-0005-0000-0000-00000C1E0000}"/>
    <cellStyle name="Normal 8 4 4 2" xfId="3204" xr:uid="{00000000-0005-0000-0000-00000D1E0000}"/>
    <cellStyle name="Normal 8 4 4 2 2" xfId="7426" xr:uid="{00000000-0005-0000-0000-00000E1E0000}"/>
    <cellStyle name="Normal 8 4 4 2 2 2" xfId="16752" xr:uid="{517B1F41-E09E-4F84-AB58-1A57A54E516F}"/>
    <cellStyle name="Normal 8 4 4 2 3" xfId="12535" xr:uid="{72D98533-A05D-4603-BDE2-CAD28254AD98}"/>
    <cellStyle name="Normal 8 4 4 3" xfId="5281" xr:uid="{00000000-0005-0000-0000-00000F1E0000}"/>
    <cellStyle name="Normal 8 4 4 3 2" xfId="14607" xr:uid="{CAC31563-A56D-4730-BF16-74BEB42C85C3}"/>
    <cellStyle name="Normal 8 4 4 4" xfId="9259" xr:uid="{45904BAA-3C39-482B-A2B6-0FB84C0B889C}"/>
    <cellStyle name="Normal 8 4 4 4 2" xfId="18574" xr:uid="{228FCB17-DB6F-4EA6-8A4E-12E3B40C0FC1}"/>
    <cellStyle name="Normal 8 4 4 5" xfId="10390" xr:uid="{3005517A-01BF-4F4C-87C4-7748A522463E}"/>
    <cellStyle name="Normal 8 4 5" xfId="1387" xr:uid="{00000000-0005-0000-0000-0000101E0000}"/>
    <cellStyle name="Normal 8 4 5 2" xfId="3617" xr:uid="{00000000-0005-0000-0000-0000111E0000}"/>
    <cellStyle name="Normal 8 4 5 2 2" xfId="7839" xr:uid="{00000000-0005-0000-0000-0000121E0000}"/>
    <cellStyle name="Normal 8 4 5 2 2 2" xfId="17165" xr:uid="{7DD6E078-3B7E-4288-90CD-C50F240750B5}"/>
    <cellStyle name="Normal 8 4 5 2 3" xfId="12948" xr:uid="{53A482F7-63B1-4DE9-AA9B-4E9088556E64}"/>
    <cellStyle name="Normal 8 4 5 3" xfId="5694" xr:uid="{00000000-0005-0000-0000-0000131E0000}"/>
    <cellStyle name="Normal 8 4 5 3 2" xfId="15020" xr:uid="{D5302457-B5DA-4CFD-8671-DA0D00141F92}"/>
    <cellStyle name="Normal 8 4 5 4" xfId="10803" xr:uid="{7A63F9FC-66B4-427B-9D82-7075BC897CAE}"/>
    <cellStyle name="Normal 8 4 6" xfId="1800" xr:uid="{00000000-0005-0000-0000-0000141E0000}"/>
    <cellStyle name="Normal 8 4 6 2" xfId="4030" xr:uid="{00000000-0005-0000-0000-0000151E0000}"/>
    <cellStyle name="Normal 8 4 6 2 2" xfId="8252" xr:uid="{00000000-0005-0000-0000-0000161E0000}"/>
    <cellStyle name="Normal 8 4 6 2 2 2" xfId="17578" xr:uid="{D1C7BD71-5F7A-4445-82B4-C19B69EBE5A2}"/>
    <cellStyle name="Normal 8 4 6 2 3" xfId="13361" xr:uid="{A3B6A8FE-807B-43C4-96C3-0E7ED42C4CF9}"/>
    <cellStyle name="Normal 8 4 6 3" xfId="6107" xr:uid="{00000000-0005-0000-0000-0000171E0000}"/>
    <cellStyle name="Normal 8 4 6 3 2" xfId="15433" xr:uid="{E19F2E97-A4B2-42B7-81B4-E9081EBC2163}"/>
    <cellStyle name="Normal 8 4 6 4" xfId="11216" xr:uid="{C5EF5A32-B4FD-41B3-A256-B4677DA655CC}"/>
    <cellStyle name="Normal 8 4 7" xfId="2214" xr:uid="{00000000-0005-0000-0000-0000181E0000}"/>
    <cellStyle name="Normal 8 4 7 2" xfId="4443" xr:uid="{00000000-0005-0000-0000-0000191E0000}"/>
    <cellStyle name="Normal 8 4 7 2 2" xfId="8665" xr:uid="{00000000-0005-0000-0000-00001A1E0000}"/>
    <cellStyle name="Normal 8 4 7 2 2 2" xfId="17991" xr:uid="{CD2038B0-C2FB-461E-9768-E39CD94C902F}"/>
    <cellStyle name="Normal 8 4 7 2 3" xfId="13774" xr:uid="{504AA378-590B-415B-A8F1-47CD6D34B5AD}"/>
    <cellStyle name="Normal 8 4 7 3" xfId="6520" xr:uid="{00000000-0005-0000-0000-00001B1E0000}"/>
    <cellStyle name="Normal 8 4 7 3 2" xfId="15846" xr:uid="{72D4F16C-1F8D-4FFE-AB39-CED6A862D5FF}"/>
    <cellStyle name="Normal 8 4 7 4" xfId="11629" xr:uid="{B3D4AD9F-B5B1-4438-AE0A-AA4019CDF133}"/>
    <cellStyle name="Normal 8 4 8" xfId="2650" xr:uid="{00000000-0005-0000-0000-00001C1E0000}"/>
    <cellStyle name="Normal 8 4 8 2" xfId="6933" xr:uid="{00000000-0005-0000-0000-00001D1E0000}"/>
    <cellStyle name="Normal 8 4 8 2 2" xfId="16259" xr:uid="{5AB89F7A-57A7-4FFB-9336-0459FD180ABF}"/>
    <cellStyle name="Normal 8 4 8 3" xfId="12042" xr:uid="{00CBB76A-2165-4F71-8C2B-B9A21F30C33D}"/>
    <cellStyle name="Normal 8 4 9" xfId="4868" xr:uid="{00000000-0005-0000-0000-00001E1E0000}"/>
    <cellStyle name="Normal 8 4 9 2" xfId="14194" xr:uid="{E4A31F26-EE6F-46DE-B2C7-762277474FB7}"/>
    <cellStyle name="Normal 8 5" xfId="507" xr:uid="{00000000-0005-0000-0000-00001F1E0000}"/>
    <cellStyle name="Normal 8 5 10" xfId="9981" xr:uid="{C2246E70-EC29-4366-8713-9123D392EBCC}"/>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EB84D6A8-2C08-4D7D-94F9-9DED21C44D9A}"/>
    <cellStyle name="Normal 8 5 2 2 2 3" xfId="12540" xr:uid="{3C939511-ABF0-4593-AD5D-55F1E0F21F41}"/>
    <cellStyle name="Normal 8 5 2 2 3" xfId="5286" xr:uid="{00000000-0005-0000-0000-0000241E0000}"/>
    <cellStyle name="Normal 8 5 2 2 3 2" xfId="14612" xr:uid="{3B48282B-1738-40CB-A6E3-E0976941993F}"/>
    <cellStyle name="Normal 8 5 2 2 4" xfId="9477" xr:uid="{62ED1F43-6081-4B0B-94C3-5999D37D11C7}"/>
    <cellStyle name="Normal 8 5 2 2 4 2" xfId="18792" xr:uid="{67ED55B7-E10E-4BBE-ADD0-A7F533BA7E7B}"/>
    <cellStyle name="Normal 8 5 2 2 5" xfId="10395" xr:uid="{7126586E-6A85-4F06-AE27-86B4F0D90193}"/>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CA22740C-C933-49A1-A697-510E5C1B5D84}"/>
    <cellStyle name="Normal 8 5 2 3 2 3" xfId="12953" xr:uid="{BB060779-5CB1-4D62-BC9D-920AB505C1CC}"/>
    <cellStyle name="Normal 8 5 2 3 3" xfId="5699" xr:uid="{00000000-0005-0000-0000-0000281E0000}"/>
    <cellStyle name="Normal 8 5 2 3 3 2" xfId="15025" xr:uid="{2D3FBFA3-7094-433E-BC74-9E3530A51CCE}"/>
    <cellStyle name="Normal 8 5 2 3 4" xfId="10808" xr:uid="{F2EF0766-28E8-4B82-AAE5-085CAE3C6373}"/>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9E97B3F8-E736-4204-84F3-5EBF8EA387CF}"/>
    <cellStyle name="Normal 8 5 2 4 2 3" xfId="13366" xr:uid="{4F3BC381-060C-45F8-AE8D-07F7D163FFF8}"/>
    <cellStyle name="Normal 8 5 2 4 3" xfId="6112" xr:uid="{00000000-0005-0000-0000-00002C1E0000}"/>
    <cellStyle name="Normal 8 5 2 4 3 2" xfId="15438" xr:uid="{9B2A1063-1029-4C93-BBCB-3E1F6F9CA2BE}"/>
    <cellStyle name="Normal 8 5 2 4 4" xfId="11221" xr:uid="{ECA42D91-5C3C-416E-A407-EC9C335865D4}"/>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09C3D096-114C-428A-9538-135B7D7DCC2B}"/>
    <cellStyle name="Normal 8 5 2 5 2 3" xfId="13779" xr:uid="{4D27D918-E0B1-4E5A-852D-4275391D99A1}"/>
    <cellStyle name="Normal 8 5 2 5 3" xfId="6525" xr:uid="{00000000-0005-0000-0000-0000301E0000}"/>
    <cellStyle name="Normal 8 5 2 5 3 2" xfId="15851" xr:uid="{C87765A3-D9C9-4756-A378-3684E5D1FC56}"/>
    <cellStyle name="Normal 8 5 2 5 4" xfId="11634" xr:uid="{E9D6E2C1-04EF-46C9-A5C2-9C225606ACC2}"/>
    <cellStyle name="Normal 8 5 2 6" xfId="2655" xr:uid="{00000000-0005-0000-0000-0000311E0000}"/>
    <cellStyle name="Normal 8 5 2 6 2" xfId="6938" xr:uid="{00000000-0005-0000-0000-0000321E0000}"/>
    <cellStyle name="Normal 8 5 2 6 2 2" xfId="16264" xr:uid="{8FC690F4-EEB0-44E6-B588-B4BE5A100058}"/>
    <cellStyle name="Normal 8 5 2 6 3" xfId="12047" xr:uid="{77FA7080-93A6-4249-BB5F-347B17165814}"/>
    <cellStyle name="Normal 8 5 2 7" xfId="4873" xr:uid="{00000000-0005-0000-0000-0000331E0000}"/>
    <cellStyle name="Normal 8 5 2 7 2" xfId="14199" xr:uid="{40B14D14-AD86-48AD-9544-4C2A1C151987}"/>
    <cellStyle name="Normal 8 5 2 8" xfId="9052" xr:uid="{D754D15A-EECE-4975-9542-AF3C340304E3}"/>
    <cellStyle name="Normal 8 5 2 8 2" xfId="18376" xr:uid="{AF864F97-385B-4E4F-A3AD-CD267E1928B0}"/>
    <cellStyle name="Normal 8 5 2 9" xfId="9982" xr:uid="{B72E2705-9EDE-4E1E-AA45-2889EFA9A314}"/>
    <cellStyle name="Normal 8 5 3" xfId="974" xr:uid="{00000000-0005-0000-0000-0000341E0000}"/>
    <cellStyle name="Normal 8 5 3 2" xfId="3208" xr:uid="{00000000-0005-0000-0000-0000351E0000}"/>
    <cellStyle name="Normal 8 5 3 2 2" xfId="7430" xr:uid="{00000000-0005-0000-0000-0000361E0000}"/>
    <cellStyle name="Normal 8 5 3 2 2 2" xfId="16756" xr:uid="{3A5E0575-8C39-45A3-99B0-C42ADD556596}"/>
    <cellStyle name="Normal 8 5 3 2 3" xfId="12539" xr:uid="{7E97055A-B9B9-446C-88D5-7E0993B60F02}"/>
    <cellStyle name="Normal 8 5 3 3" xfId="5285" xr:uid="{00000000-0005-0000-0000-0000371E0000}"/>
    <cellStyle name="Normal 8 5 3 3 2" xfId="14611" xr:uid="{C7C4A233-6F19-45D4-87E8-30B19C1DC72B}"/>
    <cellStyle name="Normal 8 5 3 4" xfId="9270" xr:uid="{88F9D262-71F2-4DD2-A7F6-B0DCE74ABD45}"/>
    <cellStyle name="Normal 8 5 3 4 2" xfId="18585" xr:uid="{8E892229-7C06-4FB2-BB8E-EF2C0598DE40}"/>
    <cellStyle name="Normal 8 5 3 5" xfId="10394" xr:uid="{DD9C74EE-9318-4B69-A36B-6BA25D46090A}"/>
    <cellStyle name="Normal 8 5 4" xfId="1391" xr:uid="{00000000-0005-0000-0000-0000381E0000}"/>
    <cellStyle name="Normal 8 5 4 2" xfId="3621" xr:uid="{00000000-0005-0000-0000-0000391E0000}"/>
    <cellStyle name="Normal 8 5 4 2 2" xfId="7843" xr:uid="{00000000-0005-0000-0000-00003A1E0000}"/>
    <cellStyle name="Normal 8 5 4 2 2 2" xfId="17169" xr:uid="{A64DA5E8-BE3E-48BB-9263-AB167687A62C}"/>
    <cellStyle name="Normal 8 5 4 2 3" xfId="12952" xr:uid="{C45AB0EC-299B-461B-BD13-2FF969F4DA3A}"/>
    <cellStyle name="Normal 8 5 4 3" xfId="5698" xr:uid="{00000000-0005-0000-0000-00003B1E0000}"/>
    <cellStyle name="Normal 8 5 4 3 2" xfId="15024" xr:uid="{F6F7461E-52E2-42B2-9A01-C0BCE4A77B0B}"/>
    <cellStyle name="Normal 8 5 4 4" xfId="10807" xr:uid="{E0FCB91D-F2C6-4F39-8752-C99DB34DEBAE}"/>
    <cellStyle name="Normal 8 5 5" xfId="1804" xr:uid="{00000000-0005-0000-0000-00003C1E0000}"/>
    <cellStyle name="Normal 8 5 5 2" xfId="4034" xr:uid="{00000000-0005-0000-0000-00003D1E0000}"/>
    <cellStyle name="Normal 8 5 5 2 2" xfId="8256" xr:uid="{00000000-0005-0000-0000-00003E1E0000}"/>
    <cellStyle name="Normal 8 5 5 2 2 2" xfId="17582" xr:uid="{47C62250-AFEC-4267-BE39-1D14EDCBED0A}"/>
    <cellStyle name="Normal 8 5 5 2 3" xfId="13365" xr:uid="{85C5B014-18E7-48C1-ADD6-9B645E152B2E}"/>
    <cellStyle name="Normal 8 5 5 3" xfId="6111" xr:uid="{00000000-0005-0000-0000-00003F1E0000}"/>
    <cellStyle name="Normal 8 5 5 3 2" xfId="15437" xr:uid="{EE98F3D9-24BB-411C-A5C2-BC03F2526A08}"/>
    <cellStyle name="Normal 8 5 5 4" xfId="11220" xr:uid="{9575E986-42D7-47AD-AEE7-47785F4FA055}"/>
    <cellStyle name="Normal 8 5 6" xfId="2218" xr:uid="{00000000-0005-0000-0000-0000401E0000}"/>
    <cellStyle name="Normal 8 5 6 2" xfId="4447" xr:uid="{00000000-0005-0000-0000-0000411E0000}"/>
    <cellStyle name="Normal 8 5 6 2 2" xfId="8669" xr:uid="{00000000-0005-0000-0000-0000421E0000}"/>
    <cellStyle name="Normal 8 5 6 2 2 2" xfId="17995" xr:uid="{DCB4CF8A-B79E-4541-AC96-8426868ACD03}"/>
    <cellStyle name="Normal 8 5 6 2 3" xfId="13778" xr:uid="{D6E85F01-B99A-4530-B736-3C1E62B82784}"/>
    <cellStyle name="Normal 8 5 6 3" xfId="6524" xr:uid="{00000000-0005-0000-0000-0000431E0000}"/>
    <cellStyle name="Normal 8 5 6 3 2" xfId="15850" xr:uid="{F199AF34-FD17-4361-A6F9-92B07A225097}"/>
    <cellStyle name="Normal 8 5 6 4" xfId="11633" xr:uid="{06197F08-FB0C-4217-A9A7-6B9847736D98}"/>
    <cellStyle name="Normal 8 5 7" xfId="2654" xr:uid="{00000000-0005-0000-0000-0000441E0000}"/>
    <cellStyle name="Normal 8 5 7 2" xfId="6937" xr:uid="{00000000-0005-0000-0000-0000451E0000}"/>
    <cellStyle name="Normal 8 5 7 2 2" xfId="16263" xr:uid="{84AD79F5-D1E4-4297-8A83-AB512574BA4F}"/>
    <cellStyle name="Normal 8 5 7 3" xfId="12046" xr:uid="{600691EA-545C-4C23-A8D2-E8D4900A7FAD}"/>
    <cellStyle name="Normal 8 5 8" xfId="4872" xr:uid="{00000000-0005-0000-0000-0000461E0000}"/>
    <cellStyle name="Normal 8 5 8 2" xfId="14198" xr:uid="{0FD62A1D-E0EA-4058-899C-CEA27AF5DCC6}"/>
    <cellStyle name="Normal 8 5 9" xfId="8845" xr:uid="{C8167C67-59BC-42DE-816D-718433EFB28C}"/>
    <cellStyle name="Normal 8 5 9 2" xfId="18169" xr:uid="{421DD11A-EEE4-49BF-BD93-EA355A2477E6}"/>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8EA1FD6A-5B33-46C6-9701-1DD44A3C92DD}"/>
    <cellStyle name="Normal 8 6 2 2 3" xfId="12541" xr:uid="{771FA7D6-5672-443C-8C49-F32E85DCDD3B}"/>
    <cellStyle name="Normal 8 6 2 3" xfId="5287" xr:uid="{00000000-0005-0000-0000-00004B1E0000}"/>
    <cellStyle name="Normal 8 6 2 3 2" xfId="14613" xr:uid="{DA7DBEC2-F4CA-47E6-B292-035C6CBB17E4}"/>
    <cellStyle name="Normal 8 6 2 4" xfId="9386" xr:uid="{45A5CE0D-B006-45BB-A53E-22B23F4367E3}"/>
    <cellStyle name="Normal 8 6 2 4 2" xfId="18701" xr:uid="{AEE1CC0C-3D44-4280-83ED-E2CA48ECE4DF}"/>
    <cellStyle name="Normal 8 6 2 5" xfId="10396" xr:uid="{17C2716B-929A-4C0C-A953-43EDB664C482}"/>
    <cellStyle name="Normal 8 6 3" xfId="1393" xr:uid="{00000000-0005-0000-0000-00004C1E0000}"/>
    <cellStyle name="Normal 8 6 3 2" xfId="3623" xr:uid="{00000000-0005-0000-0000-00004D1E0000}"/>
    <cellStyle name="Normal 8 6 3 2 2" xfId="7845" xr:uid="{00000000-0005-0000-0000-00004E1E0000}"/>
    <cellStyle name="Normal 8 6 3 2 2 2" xfId="17171" xr:uid="{80829767-9FFC-43AB-8952-F1926E9F9619}"/>
    <cellStyle name="Normal 8 6 3 2 3" xfId="12954" xr:uid="{634E3386-2256-4E60-A84F-EDD9BD04BD3A}"/>
    <cellStyle name="Normal 8 6 3 3" xfId="5700" xr:uid="{00000000-0005-0000-0000-00004F1E0000}"/>
    <cellStyle name="Normal 8 6 3 3 2" xfId="15026" xr:uid="{A6F0B7C7-80B0-40E2-99F5-23732043E619}"/>
    <cellStyle name="Normal 8 6 3 4" xfId="10809" xr:uid="{31A8CAAE-B1FC-4946-A600-5A03536AE619}"/>
    <cellStyle name="Normal 8 6 4" xfId="1806" xr:uid="{00000000-0005-0000-0000-0000501E0000}"/>
    <cellStyle name="Normal 8 6 4 2" xfId="4036" xr:uid="{00000000-0005-0000-0000-0000511E0000}"/>
    <cellStyle name="Normal 8 6 4 2 2" xfId="8258" xr:uid="{00000000-0005-0000-0000-0000521E0000}"/>
    <cellStyle name="Normal 8 6 4 2 2 2" xfId="17584" xr:uid="{F29FB162-9C76-45E3-9F2F-C7E3BFBB93FC}"/>
    <cellStyle name="Normal 8 6 4 2 3" xfId="13367" xr:uid="{696A509B-69A7-4727-978B-032262EF0816}"/>
    <cellStyle name="Normal 8 6 4 3" xfId="6113" xr:uid="{00000000-0005-0000-0000-0000531E0000}"/>
    <cellStyle name="Normal 8 6 4 3 2" xfId="15439" xr:uid="{29BB84CC-15B0-499E-9E89-4D528EF42712}"/>
    <cellStyle name="Normal 8 6 4 4" xfId="11222" xr:uid="{90850081-4CA8-4599-8326-6D77B1DEBCD7}"/>
    <cellStyle name="Normal 8 6 5" xfId="2220" xr:uid="{00000000-0005-0000-0000-0000541E0000}"/>
    <cellStyle name="Normal 8 6 5 2" xfId="4449" xr:uid="{00000000-0005-0000-0000-0000551E0000}"/>
    <cellStyle name="Normal 8 6 5 2 2" xfId="8671" xr:uid="{00000000-0005-0000-0000-0000561E0000}"/>
    <cellStyle name="Normal 8 6 5 2 2 2" xfId="17997" xr:uid="{27F5F323-4F90-425E-8243-3A149DCA0CF9}"/>
    <cellStyle name="Normal 8 6 5 2 3" xfId="13780" xr:uid="{BB9217A6-5D1C-4DE5-92B1-C31E0C4C1093}"/>
    <cellStyle name="Normal 8 6 5 3" xfId="6526" xr:uid="{00000000-0005-0000-0000-0000571E0000}"/>
    <cellStyle name="Normal 8 6 5 3 2" xfId="15852" xr:uid="{90D84042-2BA7-4CBE-8840-F03027C2F516}"/>
    <cellStyle name="Normal 8 6 5 4" xfId="11635" xr:uid="{9B5F65B7-FA21-45B7-9CF4-DFC14113222F}"/>
    <cellStyle name="Normal 8 6 6" xfId="2656" xr:uid="{00000000-0005-0000-0000-0000581E0000}"/>
    <cellStyle name="Normal 8 6 6 2" xfId="6939" xr:uid="{00000000-0005-0000-0000-0000591E0000}"/>
    <cellStyle name="Normal 8 6 6 2 2" xfId="16265" xr:uid="{B1FD371A-5006-498E-8434-9F087797053C}"/>
    <cellStyle name="Normal 8 6 6 3" xfId="12048" xr:uid="{06A53E86-673A-49CE-ACD0-64BB4D147645}"/>
    <cellStyle name="Normal 8 6 7" xfId="4874" xr:uid="{00000000-0005-0000-0000-00005A1E0000}"/>
    <cellStyle name="Normal 8 6 7 2" xfId="14200" xr:uid="{48BE20AC-240A-4DC5-B273-AA9EC6B0D4E2}"/>
    <cellStyle name="Normal 8 6 8" xfId="8961" xr:uid="{36060843-7B38-46C3-B2F1-7172ECB11EEE}"/>
    <cellStyle name="Normal 8 6 8 2" xfId="18285" xr:uid="{D617BE86-8FD7-4612-9353-97221BBBC6EC}"/>
    <cellStyle name="Normal 8 6 9" xfId="9983" xr:uid="{A26D8CB4-E105-43CC-8F2B-DF1131BFDEC0}"/>
    <cellStyle name="Normal 8 7" xfId="945" xr:uid="{00000000-0005-0000-0000-00005B1E0000}"/>
    <cellStyle name="Normal 8 7 2" xfId="3179" xr:uid="{00000000-0005-0000-0000-00005C1E0000}"/>
    <cellStyle name="Normal 8 7 2 2" xfId="7401" xr:uid="{00000000-0005-0000-0000-00005D1E0000}"/>
    <cellStyle name="Normal 8 7 2 2 2" xfId="16727" xr:uid="{12BA6018-BD6C-4F07-82EE-2B88F8711ED6}"/>
    <cellStyle name="Normal 8 7 2 3" xfId="12510" xr:uid="{1CF3018D-107B-4B32-AAA4-61744695F365}"/>
    <cellStyle name="Normal 8 7 3" xfId="5256" xr:uid="{00000000-0005-0000-0000-00005E1E0000}"/>
    <cellStyle name="Normal 8 7 3 2" xfId="14582" xr:uid="{11302E03-1C97-4C43-985A-A431EE31CA05}"/>
    <cellStyle name="Normal 8 7 4" xfId="9164" xr:uid="{EA2ADDDA-E9AC-4FF8-B08B-61B1D6489A46}"/>
    <cellStyle name="Normal 8 7 4 2" xfId="18482" xr:uid="{3D9852F6-A6CE-4222-8616-66B36541507D}"/>
    <cellStyle name="Normal 8 7 5" xfId="10365" xr:uid="{64D10E04-BDFC-49E9-8AD0-4B21E426531F}"/>
    <cellStyle name="Normal 8 8" xfId="1362" xr:uid="{00000000-0005-0000-0000-00005F1E0000}"/>
    <cellStyle name="Normal 8 8 2" xfId="3592" xr:uid="{00000000-0005-0000-0000-0000601E0000}"/>
    <cellStyle name="Normal 8 8 2 2" xfId="7814" xr:uid="{00000000-0005-0000-0000-0000611E0000}"/>
    <cellStyle name="Normal 8 8 2 2 2" xfId="17140" xr:uid="{D5157C30-0BDE-447A-AEDA-08BC76629FE4}"/>
    <cellStyle name="Normal 8 8 2 3" xfId="12923" xr:uid="{811CEEA5-06F3-4B77-B3CA-8D0F32C54B24}"/>
    <cellStyle name="Normal 8 8 3" xfId="5669" xr:uid="{00000000-0005-0000-0000-0000621E0000}"/>
    <cellStyle name="Normal 8 8 3 2" xfId="14995" xr:uid="{79B131BF-EEBC-495F-B13A-51B00B171C81}"/>
    <cellStyle name="Normal 8 8 4" xfId="10778" xr:uid="{6CD54A9C-1158-486B-AE33-D7A91998CB7A}"/>
    <cellStyle name="Normal 8 9" xfId="1775" xr:uid="{00000000-0005-0000-0000-0000631E0000}"/>
    <cellStyle name="Normal 8 9 2" xfId="4005" xr:uid="{00000000-0005-0000-0000-0000641E0000}"/>
    <cellStyle name="Normal 8 9 2 2" xfId="8227" xr:uid="{00000000-0005-0000-0000-0000651E0000}"/>
    <cellStyle name="Normal 8 9 2 2 2" xfId="17553" xr:uid="{8DCFD4EC-DBBA-401A-8060-01629ABD3377}"/>
    <cellStyle name="Normal 8 9 2 3" xfId="13336" xr:uid="{6D52AB50-BE5C-4F74-959F-51B106FC8618}"/>
    <cellStyle name="Normal 8 9 3" xfId="6082" xr:uid="{00000000-0005-0000-0000-0000661E0000}"/>
    <cellStyle name="Normal 8 9 3 2" xfId="15408" xr:uid="{05038EFD-49E4-410D-864E-3CC85627B717}"/>
    <cellStyle name="Normal 8 9 4" xfId="11191" xr:uid="{55A40D06-B05C-4CC3-8515-3E7B5BF8EF2A}"/>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9AED5BAD-7203-41FB-9C9D-179AFC8240A9}"/>
    <cellStyle name="Normal 9 2 10 3" xfId="12049" xr:uid="{AE135EBD-580E-4848-A7E0-57304B789EAA}"/>
    <cellStyle name="Normal 9 2 11" xfId="4875" xr:uid="{00000000-0005-0000-0000-00006B1E0000}"/>
    <cellStyle name="Normal 9 2 11 2" xfId="14201" xr:uid="{8731728C-47F3-4C63-85DD-FA27061DD206}"/>
    <cellStyle name="Normal 9 2 12" xfId="8754" xr:uid="{9024D06A-4C5F-4C89-BCDB-29B8C924FF52}"/>
    <cellStyle name="Normal 9 2 12 2" xfId="18078" xr:uid="{2A1D1112-9D5D-40D0-8710-A9BD2C2DCD20}"/>
    <cellStyle name="Normal 9 2 13" xfId="9984" xr:uid="{FC54965A-BE32-40CC-AF16-BFEDE1B991E1}"/>
    <cellStyle name="Normal 9 2 2" xfId="512" xr:uid="{00000000-0005-0000-0000-00006C1E0000}"/>
    <cellStyle name="Normal 9 2 2 10" xfId="4876" xr:uid="{00000000-0005-0000-0000-00006D1E0000}"/>
    <cellStyle name="Normal 9 2 2 10 2" xfId="14202" xr:uid="{7B1B14D1-5208-4473-A6AC-313C0A038D71}"/>
    <cellStyle name="Normal 9 2 2 11" xfId="8785" xr:uid="{3048542E-ED39-45ED-9C91-0140D2CF60D9}"/>
    <cellStyle name="Normal 9 2 2 11 2" xfId="18109" xr:uid="{473ADD36-DF98-487F-9E58-0E9070567186}"/>
    <cellStyle name="Normal 9 2 2 12" xfId="9985" xr:uid="{2EE2F6B2-704F-472A-A83E-465914E53C9A}"/>
    <cellStyle name="Normal 9 2 2 2" xfId="513" xr:uid="{00000000-0005-0000-0000-00006E1E0000}"/>
    <cellStyle name="Normal 9 2 2 2 10" xfId="8839" xr:uid="{3B2DC7F4-4F49-4AE2-9279-EFD4857A149B}"/>
    <cellStyle name="Normal 9 2 2 2 10 2" xfId="18163" xr:uid="{353EAB50-0084-477A-8979-BB1147D2B844}"/>
    <cellStyle name="Normal 9 2 2 2 11" xfId="9986" xr:uid="{C89C3088-3AE1-4E60-B06E-FB47A818419A}"/>
    <cellStyle name="Normal 9 2 2 2 2" xfId="514" xr:uid="{00000000-0005-0000-0000-00006F1E0000}"/>
    <cellStyle name="Normal 9 2 2 2 2 10" xfId="9987" xr:uid="{293EDBF6-9CDC-410C-9C7C-1BF1AF9F9F4D}"/>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C0020FBC-5A05-4E6D-B22E-AA84D975C962}"/>
    <cellStyle name="Normal 9 2 2 2 2 2 2 2 3" xfId="12546" xr:uid="{4D7335F4-B82C-4DD0-8126-51E5A67DA220}"/>
    <cellStyle name="Normal 9 2 2 2 2 2 2 3" xfId="5292" xr:uid="{00000000-0005-0000-0000-0000741E0000}"/>
    <cellStyle name="Normal 9 2 2 2 2 2 2 3 2" xfId="14618" xr:uid="{6D108E4C-BB1B-4831-B57C-EE57EF89AA7A}"/>
    <cellStyle name="Normal 9 2 2 2 2 2 2 4" xfId="9574" xr:uid="{00EB170D-8A20-4280-B781-E452C3590555}"/>
    <cellStyle name="Normal 9 2 2 2 2 2 2 4 2" xfId="18889" xr:uid="{D0D28D84-6265-4610-96DF-CF7E1A6464DC}"/>
    <cellStyle name="Normal 9 2 2 2 2 2 2 5" xfId="10401" xr:uid="{1911BFA2-66C7-464A-A773-B202DA4E1383}"/>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7B1B9726-2B25-4CD1-8EA2-150209572DEC}"/>
    <cellStyle name="Normal 9 2 2 2 2 2 3 2 3" xfId="12959" xr:uid="{06885020-D026-4B01-B39B-9019FEFB3045}"/>
    <cellStyle name="Normal 9 2 2 2 2 2 3 3" xfId="5705" xr:uid="{00000000-0005-0000-0000-0000781E0000}"/>
    <cellStyle name="Normal 9 2 2 2 2 2 3 3 2" xfId="15031" xr:uid="{61C3BB3E-FFF1-4513-9970-45C911AAEBB1}"/>
    <cellStyle name="Normal 9 2 2 2 2 2 3 4" xfId="10814" xr:uid="{6B6EF50C-D351-4538-A907-D9994994E3F7}"/>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942DA577-4E99-455B-88AD-AEBC7B5CF019}"/>
    <cellStyle name="Normal 9 2 2 2 2 2 4 2 3" xfId="13372" xr:uid="{D30CF1B3-FDD1-47C4-84D9-850748C04F62}"/>
    <cellStyle name="Normal 9 2 2 2 2 2 4 3" xfId="6118" xr:uid="{00000000-0005-0000-0000-00007C1E0000}"/>
    <cellStyle name="Normal 9 2 2 2 2 2 4 3 2" xfId="15444" xr:uid="{EF6D7839-5EFD-4917-9188-721F67010E93}"/>
    <cellStyle name="Normal 9 2 2 2 2 2 4 4" xfId="11227" xr:uid="{2D7C0734-730F-4030-A133-9D015E734A81}"/>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B42E1F3D-2F8D-4301-9FFC-7C5433A07770}"/>
    <cellStyle name="Normal 9 2 2 2 2 2 5 2 3" xfId="13785" xr:uid="{F8DD8145-3917-4988-8B49-A007FB521CE2}"/>
    <cellStyle name="Normal 9 2 2 2 2 2 5 3" xfId="6531" xr:uid="{00000000-0005-0000-0000-0000801E0000}"/>
    <cellStyle name="Normal 9 2 2 2 2 2 5 3 2" xfId="15857" xr:uid="{A17BC67D-1A8E-4B65-837A-880A665948F2}"/>
    <cellStyle name="Normal 9 2 2 2 2 2 5 4" xfId="11640" xr:uid="{FE886AA1-6AF5-415D-9935-93D194C09B4C}"/>
    <cellStyle name="Normal 9 2 2 2 2 2 6" xfId="2661" xr:uid="{00000000-0005-0000-0000-0000811E0000}"/>
    <cellStyle name="Normal 9 2 2 2 2 2 6 2" xfId="6944" xr:uid="{00000000-0005-0000-0000-0000821E0000}"/>
    <cellStyle name="Normal 9 2 2 2 2 2 6 2 2" xfId="16270" xr:uid="{CA8A1B12-5CD1-4900-A9B3-51F9D3A656EB}"/>
    <cellStyle name="Normal 9 2 2 2 2 2 6 3" xfId="12053" xr:uid="{D81D98F6-83F1-4F43-AC8D-B912FB929C30}"/>
    <cellStyle name="Normal 9 2 2 2 2 2 7" xfId="4879" xr:uid="{00000000-0005-0000-0000-0000831E0000}"/>
    <cellStyle name="Normal 9 2 2 2 2 2 7 2" xfId="14205" xr:uid="{DAAAE2F1-18B3-4505-BD56-A7ED11ABE5D7}"/>
    <cellStyle name="Normal 9 2 2 2 2 2 8" xfId="9149" xr:uid="{6C0BEC1E-EE3B-4956-830C-8775C93DB46A}"/>
    <cellStyle name="Normal 9 2 2 2 2 2 8 2" xfId="18473" xr:uid="{28A05999-7816-47C2-8D9E-A431F60084E7}"/>
    <cellStyle name="Normal 9 2 2 2 2 2 9" xfId="9988" xr:uid="{60BA8F59-28A9-4769-B332-D92B7FD9B60B}"/>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DE2110F3-D501-4145-8B40-A8F5F40C6E6A}"/>
    <cellStyle name="Normal 9 2 2 2 2 3 2 3" xfId="12545" xr:uid="{801C323F-3387-4DC8-B096-5F46C5DE82DD}"/>
    <cellStyle name="Normal 9 2 2 2 2 3 3" xfId="5291" xr:uid="{00000000-0005-0000-0000-0000871E0000}"/>
    <cellStyle name="Normal 9 2 2 2 2 3 3 2" xfId="14617" xr:uid="{34636F1E-6B0D-49C6-B291-02AA5D6FD262}"/>
    <cellStyle name="Normal 9 2 2 2 2 3 4" xfId="9367" xr:uid="{4A654E22-020A-4B0F-8753-639C44EA908A}"/>
    <cellStyle name="Normal 9 2 2 2 2 3 4 2" xfId="18682" xr:uid="{78CDE265-2D87-4849-83C8-5192E81842A3}"/>
    <cellStyle name="Normal 9 2 2 2 2 3 5" xfId="10400" xr:uid="{67D06852-F765-4C1E-BFCB-9CD9875F113F}"/>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F3DAB163-7C22-454C-8355-EDBECA78F1FE}"/>
    <cellStyle name="Normal 9 2 2 2 2 4 2 3" xfId="12958" xr:uid="{66226B8F-403B-484F-A2BC-22CB905CF857}"/>
    <cellStyle name="Normal 9 2 2 2 2 4 3" xfId="5704" xr:uid="{00000000-0005-0000-0000-00008B1E0000}"/>
    <cellStyle name="Normal 9 2 2 2 2 4 3 2" xfId="15030" xr:uid="{33D9CD51-A6D2-4879-9C76-D576E681742B}"/>
    <cellStyle name="Normal 9 2 2 2 2 4 4" xfId="10813" xr:uid="{8EA0EEA2-CD44-40F4-B7F7-54F44108100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244A9A3D-99E4-4CB0-B794-5DA4BF0E43A9}"/>
    <cellStyle name="Normal 9 2 2 2 2 5 2 3" xfId="13371" xr:uid="{C52980DE-56C9-4E88-B0D5-E9225A37B28A}"/>
    <cellStyle name="Normal 9 2 2 2 2 5 3" xfId="6117" xr:uid="{00000000-0005-0000-0000-00008F1E0000}"/>
    <cellStyle name="Normal 9 2 2 2 2 5 3 2" xfId="15443" xr:uid="{35B8771B-5315-44A2-A75F-4E8A05B3B75B}"/>
    <cellStyle name="Normal 9 2 2 2 2 5 4" xfId="11226" xr:uid="{187EABCA-964F-43C7-963E-AF3CB9BD5614}"/>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490E1ED4-334A-4204-9ACB-4CAEA0AA1F1F}"/>
    <cellStyle name="Normal 9 2 2 2 2 6 2 3" xfId="13784" xr:uid="{5B9D79A4-F1CC-4B02-B17E-CC361612F3FA}"/>
    <cellStyle name="Normal 9 2 2 2 2 6 3" xfId="6530" xr:uid="{00000000-0005-0000-0000-0000931E0000}"/>
    <cellStyle name="Normal 9 2 2 2 2 6 3 2" xfId="15856" xr:uid="{0B6BDD56-88A2-4F9F-8667-92DBCF0DD689}"/>
    <cellStyle name="Normal 9 2 2 2 2 6 4" xfId="11639" xr:uid="{1AB210D2-4389-4191-B5FD-E85E250BBE3E}"/>
    <cellStyle name="Normal 9 2 2 2 2 7" xfId="2660" xr:uid="{00000000-0005-0000-0000-0000941E0000}"/>
    <cellStyle name="Normal 9 2 2 2 2 7 2" xfId="6943" xr:uid="{00000000-0005-0000-0000-0000951E0000}"/>
    <cellStyle name="Normal 9 2 2 2 2 7 2 2" xfId="16269" xr:uid="{E7CCF988-2187-452F-AF6C-1357EBBDF5C8}"/>
    <cellStyle name="Normal 9 2 2 2 2 7 3" xfId="12052" xr:uid="{B7C7214D-0365-4A48-93FE-36BE30CDA623}"/>
    <cellStyle name="Normal 9 2 2 2 2 8" xfId="4878" xr:uid="{00000000-0005-0000-0000-0000961E0000}"/>
    <cellStyle name="Normal 9 2 2 2 2 8 2" xfId="14204" xr:uid="{C70BFBBC-DEA1-47D3-A363-C833C26D382A}"/>
    <cellStyle name="Normal 9 2 2 2 2 9" xfId="8942" xr:uid="{0DE8A022-819C-4D6A-B102-31C1C7F429A5}"/>
    <cellStyle name="Normal 9 2 2 2 2 9 2" xfId="18266" xr:uid="{AF59B368-01C4-4082-8735-7FA719CD1E6E}"/>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8A5325BC-1D83-493E-9256-2B0BDC17403C}"/>
    <cellStyle name="Normal 9 2 2 2 3 2 2 3" xfId="12547" xr:uid="{9A259A0E-F3D1-435E-80EB-E5FE2FE48218}"/>
    <cellStyle name="Normal 9 2 2 2 3 2 3" xfId="5293" xr:uid="{00000000-0005-0000-0000-00009B1E0000}"/>
    <cellStyle name="Normal 9 2 2 2 3 2 3 2" xfId="14619" xr:uid="{DC6DA682-FFF8-44CD-BD81-978A320BDA1C}"/>
    <cellStyle name="Normal 9 2 2 2 3 2 4" xfId="9471" xr:uid="{E472D827-532E-42C0-B781-9E63FEBCFCF5}"/>
    <cellStyle name="Normal 9 2 2 2 3 2 4 2" xfId="18786" xr:uid="{BC574AF4-6E7D-4760-B5C5-28D0E3A20201}"/>
    <cellStyle name="Normal 9 2 2 2 3 2 5" xfId="10402" xr:uid="{C52F765C-D033-44BA-B78B-855B0741419F}"/>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B10177AF-35AE-425D-B866-0F0D9022CA32}"/>
    <cellStyle name="Normal 9 2 2 2 3 3 2 3" xfId="12960" xr:uid="{194B1602-F22C-47F6-B6BD-648B49D140AD}"/>
    <cellStyle name="Normal 9 2 2 2 3 3 3" xfId="5706" xr:uid="{00000000-0005-0000-0000-00009F1E0000}"/>
    <cellStyle name="Normal 9 2 2 2 3 3 3 2" xfId="15032" xr:uid="{FC6F103B-7D03-4C89-9A58-7E6FA1E0E15E}"/>
    <cellStyle name="Normal 9 2 2 2 3 3 4" xfId="10815" xr:uid="{184447B3-FED1-4271-A4F4-714630623FFD}"/>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E0BECA2F-6AE2-4451-AAB8-E9DBFD399533}"/>
    <cellStyle name="Normal 9 2 2 2 3 4 2 3" xfId="13373" xr:uid="{866EE9AF-8680-4C08-85A5-6CD4138E3A40}"/>
    <cellStyle name="Normal 9 2 2 2 3 4 3" xfId="6119" xr:uid="{00000000-0005-0000-0000-0000A31E0000}"/>
    <cellStyle name="Normal 9 2 2 2 3 4 3 2" xfId="15445" xr:uid="{66981D62-B089-4624-A093-76D8ED9B2B80}"/>
    <cellStyle name="Normal 9 2 2 2 3 4 4" xfId="11228" xr:uid="{782EDD34-1C33-4D52-B6A2-C4FDFA6C1962}"/>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D315C10C-BA78-451F-8DEB-BA45049E8B10}"/>
    <cellStyle name="Normal 9 2 2 2 3 5 2 3" xfId="13786" xr:uid="{0D1FB735-BC42-47E8-BCAF-AE4BE4D8049C}"/>
    <cellStyle name="Normal 9 2 2 2 3 5 3" xfId="6532" xr:uid="{00000000-0005-0000-0000-0000A71E0000}"/>
    <cellStyle name="Normal 9 2 2 2 3 5 3 2" xfId="15858" xr:uid="{B40C01C4-29FA-4099-98DD-BE938F5D7A1C}"/>
    <cellStyle name="Normal 9 2 2 2 3 5 4" xfId="11641" xr:uid="{D94ABECF-ADD7-4046-A84B-57363E919FDE}"/>
    <cellStyle name="Normal 9 2 2 2 3 6" xfId="2662" xr:uid="{00000000-0005-0000-0000-0000A81E0000}"/>
    <cellStyle name="Normal 9 2 2 2 3 6 2" xfId="6945" xr:uid="{00000000-0005-0000-0000-0000A91E0000}"/>
    <cellStyle name="Normal 9 2 2 2 3 6 2 2" xfId="16271" xr:uid="{B7F6DA7F-5E43-4D81-A0DA-00B503589A3A}"/>
    <cellStyle name="Normal 9 2 2 2 3 6 3" xfId="12054" xr:uid="{8BAC83FE-7BF3-416D-85FB-55D426CDBB0D}"/>
    <cellStyle name="Normal 9 2 2 2 3 7" xfId="4880" xr:uid="{00000000-0005-0000-0000-0000AA1E0000}"/>
    <cellStyle name="Normal 9 2 2 2 3 7 2" xfId="14206" xr:uid="{39DC953D-8623-409B-8690-7FA7DAF6E6AC}"/>
    <cellStyle name="Normal 9 2 2 2 3 8" xfId="9046" xr:uid="{6B7E07C7-E90B-4AE9-8FE8-76EF28E8FC85}"/>
    <cellStyle name="Normal 9 2 2 2 3 8 2" xfId="18370" xr:uid="{82E6FD52-3D0D-4F63-AE8B-178F85D2D7A5}"/>
    <cellStyle name="Normal 9 2 2 2 3 9" xfId="9989" xr:uid="{ECCCFB2B-43A9-478A-91D4-F9CA12A5F9B8}"/>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11FE6C21-13EB-4FF7-8A42-D591D39E2AD7}"/>
    <cellStyle name="Normal 9 2 2 2 4 2 3" xfId="12544" xr:uid="{EF567F45-FB8F-403C-B632-5AF89C9764DD}"/>
    <cellStyle name="Normal 9 2 2 2 4 3" xfId="5290" xr:uid="{00000000-0005-0000-0000-0000AE1E0000}"/>
    <cellStyle name="Normal 9 2 2 2 4 3 2" xfId="14616" xr:uid="{1616B57C-3DAB-4211-8DF2-C944C85FC3BB}"/>
    <cellStyle name="Normal 9 2 2 2 4 4" xfId="9264" xr:uid="{0137E036-48D9-4B3B-9B73-0002A19DDE9E}"/>
    <cellStyle name="Normal 9 2 2 2 4 4 2" xfId="18579" xr:uid="{E442A0DD-E825-46E0-B9D7-BA9C1F619771}"/>
    <cellStyle name="Normal 9 2 2 2 4 5" xfId="10399" xr:uid="{4F235477-E377-441D-AD91-92414E9D2EBA}"/>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E0D21DFB-348F-4A5D-AF20-1D4E17B51AAC}"/>
    <cellStyle name="Normal 9 2 2 2 5 2 3" xfId="12957" xr:uid="{E8EEE7F8-3133-495B-8FB4-5A77AE9C6ACD}"/>
    <cellStyle name="Normal 9 2 2 2 5 3" xfId="5703" xr:uid="{00000000-0005-0000-0000-0000B21E0000}"/>
    <cellStyle name="Normal 9 2 2 2 5 3 2" xfId="15029" xr:uid="{B1944384-A616-4355-B24B-565CACE5CD21}"/>
    <cellStyle name="Normal 9 2 2 2 5 4" xfId="10812" xr:uid="{E56D4841-6429-4C0B-A14F-7D6957BA9EDC}"/>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08C44518-8A06-41F3-9AA0-A2CC3A7330ED}"/>
    <cellStyle name="Normal 9 2 2 2 6 2 3" xfId="13370" xr:uid="{5A1A01FE-5A20-4391-B998-5933C435AF78}"/>
    <cellStyle name="Normal 9 2 2 2 6 3" xfId="6116" xr:uid="{00000000-0005-0000-0000-0000B61E0000}"/>
    <cellStyle name="Normal 9 2 2 2 6 3 2" xfId="15442" xr:uid="{582F634D-2ED3-46C2-B19F-047268DBCD35}"/>
    <cellStyle name="Normal 9 2 2 2 6 4" xfId="11225" xr:uid="{8903C08A-6E1F-40F4-9572-11D1FEE758D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E2033B42-4D8A-4D85-ACC6-EA390A5E2375}"/>
    <cellStyle name="Normal 9 2 2 2 7 2 3" xfId="13783" xr:uid="{A5EAD079-0D24-4FCA-B157-06504C5B52A4}"/>
    <cellStyle name="Normal 9 2 2 2 7 3" xfId="6529" xr:uid="{00000000-0005-0000-0000-0000BA1E0000}"/>
    <cellStyle name="Normal 9 2 2 2 7 3 2" xfId="15855" xr:uid="{04435894-8141-4E77-A1C3-983B29833702}"/>
    <cellStyle name="Normal 9 2 2 2 7 4" xfId="11638" xr:uid="{FC60EF63-58D1-4C27-A467-7615DC7834A2}"/>
    <cellStyle name="Normal 9 2 2 2 8" xfId="2659" xr:uid="{00000000-0005-0000-0000-0000BB1E0000}"/>
    <cellStyle name="Normal 9 2 2 2 8 2" xfId="6942" xr:uid="{00000000-0005-0000-0000-0000BC1E0000}"/>
    <cellStyle name="Normal 9 2 2 2 8 2 2" xfId="16268" xr:uid="{7CCE52FF-BD61-443D-82F3-6C4FDCBF38F0}"/>
    <cellStyle name="Normal 9 2 2 2 8 3" xfId="12051" xr:uid="{1EBBD5B8-78F4-4413-8329-4BA44CFDDD88}"/>
    <cellStyle name="Normal 9 2 2 2 9" xfId="4877" xr:uid="{00000000-0005-0000-0000-0000BD1E0000}"/>
    <cellStyle name="Normal 9 2 2 2 9 2" xfId="14203" xr:uid="{7F6879C8-9259-4645-A287-2F9E59EEB6B3}"/>
    <cellStyle name="Normal 9 2 2 3" xfId="517" xr:uid="{00000000-0005-0000-0000-0000BE1E0000}"/>
    <cellStyle name="Normal 9 2 2 3 10" xfId="9990" xr:uid="{29AF9640-7A62-4091-B5B8-1D45CED60DE5}"/>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9DA4A408-1558-4693-AAC9-90483D8CB5DE}"/>
    <cellStyle name="Normal 9 2 2 3 2 2 2 3" xfId="12549" xr:uid="{EA22B79B-7A6F-4093-B5EE-636976A5B07C}"/>
    <cellStyle name="Normal 9 2 2 3 2 2 3" xfId="5295" xr:uid="{00000000-0005-0000-0000-0000C31E0000}"/>
    <cellStyle name="Normal 9 2 2 3 2 2 3 2" xfId="14621" xr:uid="{77E71F11-5DFB-478E-97B8-1217FCB92FB4}"/>
    <cellStyle name="Normal 9 2 2 3 2 2 4" xfId="9520" xr:uid="{57CFBD10-691F-4DF8-8020-B75E98FF60DD}"/>
    <cellStyle name="Normal 9 2 2 3 2 2 4 2" xfId="18835" xr:uid="{C56B46E6-F46F-4F1F-9B46-B76C999AE5A6}"/>
    <cellStyle name="Normal 9 2 2 3 2 2 5" xfId="10404" xr:uid="{17AB3713-3D6C-4360-B67E-7908CC290393}"/>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3B68C271-4419-404B-834E-A59160E4CFAC}"/>
    <cellStyle name="Normal 9 2 2 3 2 3 2 3" xfId="12962" xr:uid="{E7D494E3-B556-4B33-BBDA-50E6F5F0E569}"/>
    <cellStyle name="Normal 9 2 2 3 2 3 3" xfId="5708" xr:uid="{00000000-0005-0000-0000-0000C71E0000}"/>
    <cellStyle name="Normal 9 2 2 3 2 3 3 2" xfId="15034" xr:uid="{FC3C093C-5840-45A3-BC6B-110D7D6BD2CF}"/>
    <cellStyle name="Normal 9 2 2 3 2 3 4" xfId="10817" xr:uid="{A72F679A-C610-43E8-B172-E0E692ED79B2}"/>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873E55A2-F2AF-4150-A041-9BEE7DCA7CBB}"/>
    <cellStyle name="Normal 9 2 2 3 2 4 2 3" xfId="13375" xr:uid="{3B2AEA0E-459D-4394-BD68-04F539C85373}"/>
    <cellStyle name="Normal 9 2 2 3 2 4 3" xfId="6121" xr:uid="{00000000-0005-0000-0000-0000CB1E0000}"/>
    <cellStyle name="Normal 9 2 2 3 2 4 3 2" xfId="15447" xr:uid="{2B86108D-77DB-43F4-B0AB-AEA809A77AF8}"/>
    <cellStyle name="Normal 9 2 2 3 2 4 4" xfId="11230" xr:uid="{8DBA5CCC-960F-4B8C-8CBD-50747C6AB4B2}"/>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086F52BE-1BEB-4244-921E-7E4AECEC8713}"/>
    <cellStyle name="Normal 9 2 2 3 2 5 2 3" xfId="13788" xr:uid="{FBD4AC07-50B6-474E-99CB-E95578418F4C}"/>
    <cellStyle name="Normal 9 2 2 3 2 5 3" xfId="6534" xr:uid="{00000000-0005-0000-0000-0000CF1E0000}"/>
    <cellStyle name="Normal 9 2 2 3 2 5 3 2" xfId="15860" xr:uid="{ABD02083-24D0-4C7E-A196-28FDB6A047E8}"/>
    <cellStyle name="Normal 9 2 2 3 2 5 4" xfId="11643" xr:uid="{B9D949E0-C544-45FD-B227-542E64A117C0}"/>
    <cellStyle name="Normal 9 2 2 3 2 6" xfId="2664" xr:uid="{00000000-0005-0000-0000-0000D01E0000}"/>
    <cellStyle name="Normal 9 2 2 3 2 6 2" xfId="6947" xr:uid="{00000000-0005-0000-0000-0000D11E0000}"/>
    <cellStyle name="Normal 9 2 2 3 2 6 2 2" xfId="16273" xr:uid="{D6221D77-DB6F-466A-B88A-EDE0ECB6CFDD}"/>
    <cellStyle name="Normal 9 2 2 3 2 6 3" xfId="12056" xr:uid="{B8C481DB-24A9-4EA8-8E2D-815665F1E76E}"/>
    <cellStyle name="Normal 9 2 2 3 2 7" xfId="4882" xr:uid="{00000000-0005-0000-0000-0000D21E0000}"/>
    <cellStyle name="Normal 9 2 2 3 2 7 2" xfId="14208" xr:uid="{5CFC110F-5BB7-444D-8A42-6599D709886F}"/>
    <cellStyle name="Normal 9 2 2 3 2 8" xfId="9095" xr:uid="{D95088B7-D227-4E97-A9B9-DA61436DD386}"/>
    <cellStyle name="Normal 9 2 2 3 2 8 2" xfId="18419" xr:uid="{BB11D268-38BD-46F4-B14D-42A8762E4B43}"/>
    <cellStyle name="Normal 9 2 2 3 2 9" xfId="9991" xr:uid="{53EA4448-124A-4CB2-95F8-2E3567EA663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7D921375-C238-481C-839C-7DF4FFE5CD88}"/>
    <cellStyle name="Normal 9 2 2 3 3 2 3" xfId="12548" xr:uid="{8EB47C03-1107-4E26-ABEB-E9C380B0C55E}"/>
    <cellStyle name="Normal 9 2 2 3 3 3" xfId="5294" xr:uid="{00000000-0005-0000-0000-0000D61E0000}"/>
    <cellStyle name="Normal 9 2 2 3 3 3 2" xfId="14620" xr:uid="{76566638-2C2E-40EB-BFBF-5CCC6A9E10CF}"/>
    <cellStyle name="Normal 9 2 2 3 3 4" xfId="9313" xr:uid="{FDDC600D-FDDD-4FFC-9820-DFD7E0768F33}"/>
    <cellStyle name="Normal 9 2 2 3 3 4 2" xfId="18628" xr:uid="{3EAAFBA1-25FB-46F6-97AC-BBD8B670D3E8}"/>
    <cellStyle name="Normal 9 2 2 3 3 5" xfId="10403" xr:uid="{FBCEFA3A-3B2A-41E8-82D7-C3EABE615B4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28CC642D-C47A-419A-A80D-E16A3E4BD488}"/>
    <cellStyle name="Normal 9 2 2 3 4 2 3" xfId="12961" xr:uid="{C74AC8DF-DF9B-4102-A94E-6B160B934CDD}"/>
    <cellStyle name="Normal 9 2 2 3 4 3" xfId="5707" xr:uid="{00000000-0005-0000-0000-0000DA1E0000}"/>
    <cellStyle name="Normal 9 2 2 3 4 3 2" xfId="15033" xr:uid="{C019284E-D800-47A0-A914-B1686070D872}"/>
    <cellStyle name="Normal 9 2 2 3 4 4" xfId="10816" xr:uid="{55CBCE43-7DF1-4C16-AA13-7A1B0F23805D}"/>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FD2C2778-74F1-49B9-A409-2399FE48A662}"/>
    <cellStyle name="Normal 9 2 2 3 5 2 3" xfId="13374" xr:uid="{8EDD826A-77DE-4DBE-BDE5-B0BF837E8990}"/>
    <cellStyle name="Normal 9 2 2 3 5 3" xfId="6120" xr:uid="{00000000-0005-0000-0000-0000DE1E0000}"/>
    <cellStyle name="Normal 9 2 2 3 5 3 2" xfId="15446" xr:uid="{300B0FA2-7849-4C74-8460-D1C9256B36DD}"/>
    <cellStyle name="Normal 9 2 2 3 5 4" xfId="11229" xr:uid="{1D176FEB-714B-4364-AA34-6E16E0A0F8C9}"/>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316BE3A1-9099-4F38-AE02-DF0DB3A8ED32}"/>
    <cellStyle name="Normal 9 2 2 3 6 2 3" xfId="13787" xr:uid="{98C15CC9-1C26-4731-A628-F9B303AE2E46}"/>
    <cellStyle name="Normal 9 2 2 3 6 3" xfId="6533" xr:uid="{00000000-0005-0000-0000-0000E21E0000}"/>
    <cellStyle name="Normal 9 2 2 3 6 3 2" xfId="15859" xr:uid="{E83349D6-00D5-4CBE-9609-CDDB05C75407}"/>
    <cellStyle name="Normal 9 2 2 3 6 4" xfId="11642" xr:uid="{A77D2040-D688-42B8-8DA9-C51C8C9DF10B}"/>
    <cellStyle name="Normal 9 2 2 3 7" xfId="2663" xr:uid="{00000000-0005-0000-0000-0000E31E0000}"/>
    <cellStyle name="Normal 9 2 2 3 7 2" xfId="6946" xr:uid="{00000000-0005-0000-0000-0000E41E0000}"/>
    <cellStyle name="Normal 9 2 2 3 7 2 2" xfId="16272" xr:uid="{D5B42B6B-FED3-474F-9CD9-C296568BA0BA}"/>
    <cellStyle name="Normal 9 2 2 3 7 3" xfId="12055" xr:uid="{5C00008C-E0EB-46D1-84B2-E4B76E37D796}"/>
    <cellStyle name="Normal 9 2 2 3 8" xfId="4881" xr:uid="{00000000-0005-0000-0000-0000E51E0000}"/>
    <cellStyle name="Normal 9 2 2 3 8 2" xfId="14207" xr:uid="{615F9873-A6E9-4F78-95D8-13E5659B36C7}"/>
    <cellStyle name="Normal 9 2 2 3 9" xfId="8888" xr:uid="{47457178-62A7-4ACA-95A1-433BF4FD3D65}"/>
    <cellStyle name="Normal 9 2 2 3 9 2" xfId="18212" xr:uid="{9392C9A6-505A-4706-AD99-FDDC4771B6C3}"/>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AF1E1258-E739-489F-9F35-55160E67DF88}"/>
    <cellStyle name="Normal 9 2 2 4 2 2 3" xfId="12550" xr:uid="{C2E4D129-C418-4190-9484-3DCD501FCFD3}"/>
    <cellStyle name="Normal 9 2 2 4 2 3" xfId="5296" xr:uid="{00000000-0005-0000-0000-0000EA1E0000}"/>
    <cellStyle name="Normal 9 2 2 4 2 3 2" xfId="14622" xr:uid="{486081CE-5E79-47DF-BD60-007364225F8A}"/>
    <cellStyle name="Normal 9 2 2 4 2 4" xfId="9417" xr:uid="{FDB8A679-B5B8-4E9B-808D-E68F6CA01958}"/>
    <cellStyle name="Normal 9 2 2 4 2 4 2" xfId="18732" xr:uid="{F94E2302-A489-4760-B391-77FAE0E00C97}"/>
    <cellStyle name="Normal 9 2 2 4 2 5" xfId="10405" xr:uid="{35D97AE9-1300-40AC-ADF4-101DA7DB3B4C}"/>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86269077-C48F-41F2-9814-2AD5E44CED1A}"/>
    <cellStyle name="Normal 9 2 2 4 3 2 3" xfId="12963" xr:uid="{8B95248F-9B22-4C48-98AA-AF2C798078C8}"/>
    <cellStyle name="Normal 9 2 2 4 3 3" xfId="5709" xr:uid="{00000000-0005-0000-0000-0000EE1E0000}"/>
    <cellStyle name="Normal 9 2 2 4 3 3 2" xfId="15035" xr:uid="{55A444B9-08FE-469D-9894-89295DB46C63}"/>
    <cellStyle name="Normal 9 2 2 4 3 4" xfId="10818" xr:uid="{B43F4C97-03A0-4286-BCD4-A6EC9EFC1DFA}"/>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8FE81B2F-61E6-48D3-82A5-66A1CFA50B94}"/>
    <cellStyle name="Normal 9 2 2 4 4 2 3" xfId="13376" xr:uid="{D097F30B-9545-46E3-8CD7-31CCFF061AE7}"/>
    <cellStyle name="Normal 9 2 2 4 4 3" xfId="6122" xr:uid="{00000000-0005-0000-0000-0000F21E0000}"/>
    <cellStyle name="Normal 9 2 2 4 4 3 2" xfId="15448" xr:uid="{5D5A0448-3394-4A69-A381-96AD17FF9AFB}"/>
    <cellStyle name="Normal 9 2 2 4 4 4" xfId="11231" xr:uid="{261B0C27-66D1-4BAE-9FA1-08DC6265A52D}"/>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2DC43168-C270-44ED-8009-B32B18269E9E}"/>
    <cellStyle name="Normal 9 2 2 4 5 2 3" xfId="13789" xr:uid="{6E532CE7-B08E-43EB-AD04-4E20534E8125}"/>
    <cellStyle name="Normal 9 2 2 4 5 3" xfId="6535" xr:uid="{00000000-0005-0000-0000-0000F61E0000}"/>
    <cellStyle name="Normal 9 2 2 4 5 3 2" xfId="15861" xr:uid="{86A0B5C6-63CE-4105-A2C2-7EED46250813}"/>
    <cellStyle name="Normal 9 2 2 4 5 4" xfId="11644" xr:uid="{701C95FF-4C73-44F8-9C6A-776FD519D8A9}"/>
    <cellStyle name="Normal 9 2 2 4 6" xfId="2665" xr:uid="{00000000-0005-0000-0000-0000F71E0000}"/>
    <cellStyle name="Normal 9 2 2 4 6 2" xfId="6948" xr:uid="{00000000-0005-0000-0000-0000F81E0000}"/>
    <cellStyle name="Normal 9 2 2 4 6 2 2" xfId="16274" xr:uid="{1391DD59-48CE-45E4-83C7-F55AB0F27F5B}"/>
    <cellStyle name="Normal 9 2 2 4 6 3" xfId="12057" xr:uid="{DA4A4F80-35BD-416A-B754-11357A940E60}"/>
    <cellStyle name="Normal 9 2 2 4 7" xfId="4883" xr:uid="{00000000-0005-0000-0000-0000F91E0000}"/>
    <cellStyle name="Normal 9 2 2 4 7 2" xfId="14209" xr:uid="{7CD5AC04-A8C1-4D24-8D6C-2154C407641E}"/>
    <cellStyle name="Normal 9 2 2 4 8" xfId="8992" xr:uid="{8AFFF8AD-8552-4B33-AAFF-7DACAE25085E}"/>
    <cellStyle name="Normal 9 2 2 4 8 2" xfId="18316" xr:uid="{85D506DD-BA55-4003-AB12-BC1FA8802138}"/>
    <cellStyle name="Normal 9 2 2 4 9" xfId="9992" xr:uid="{94F49B8A-AD62-48B5-854A-1D9BC673E55B}"/>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C26EC64B-6884-4374-9723-14549D7DEB92}"/>
    <cellStyle name="Normal 9 2 2 5 2 3" xfId="12543" xr:uid="{28C7C57D-44FE-41D7-8C7D-F76F498DC286}"/>
    <cellStyle name="Normal 9 2 2 5 3" xfId="5289" xr:uid="{00000000-0005-0000-0000-0000FD1E0000}"/>
    <cellStyle name="Normal 9 2 2 5 3 2" xfId="14615" xr:uid="{F95DCC03-5585-4057-BB45-5C34CF36D9C3}"/>
    <cellStyle name="Normal 9 2 2 5 4" xfId="9209" xr:uid="{66E66B93-842C-41D8-A807-A065C03CFEBD}"/>
    <cellStyle name="Normal 9 2 2 5 4 2" xfId="18525" xr:uid="{E4CE5B9D-114F-49D3-B3ED-EEAE479A5F67}"/>
    <cellStyle name="Normal 9 2 2 5 5" xfId="10398" xr:uid="{2DB291D6-0C6E-425C-A0EC-3861C3B4304F}"/>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414A577B-5951-4948-ACB3-8C3FEBE2C759}"/>
    <cellStyle name="Normal 9 2 2 6 2 3" xfId="12956" xr:uid="{E935738F-AC20-4825-9BF5-FCE792DF8573}"/>
    <cellStyle name="Normal 9 2 2 6 3" xfId="5702" xr:uid="{00000000-0005-0000-0000-0000011F0000}"/>
    <cellStyle name="Normal 9 2 2 6 3 2" xfId="15028" xr:uid="{269084F2-60B9-4D71-879A-52E40EF0C0F7}"/>
    <cellStyle name="Normal 9 2 2 6 4" xfId="10811" xr:uid="{9CDB5789-12CD-4B90-8E44-EA368BDCE4E0}"/>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D2950807-E7B2-4650-8B61-802A990695D1}"/>
    <cellStyle name="Normal 9 2 2 7 2 3" xfId="13369" xr:uid="{E669DD9C-5D2F-459C-B7B3-9F1C7C6D18DC}"/>
    <cellStyle name="Normal 9 2 2 7 3" xfId="6115" xr:uid="{00000000-0005-0000-0000-0000051F0000}"/>
    <cellStyle name="Normal 9 2 2 7 3 2" xfId="15441" xr:uid="{0757B334-4FAA-4082-AD8E-B6972664B929}"/>
    <cellStyle name="Normal 9 2 2 7 4" xfId="11224" xr:uid="{74434C8B-ED33-4791-BFB4-BD8E5730F75F}"/>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D1404123-0E82-4035-9796-E709CD9662A5}"/>
    <cellStyle name="Normal 9 2 2 8 2 3" xfId="13782" xr:uid="{176AAFCF-F215-4B69-B1AF-54C4425D6828}"/>
    <cellStyle name="Normal 9 2 2 8 3" xfId="6528" xr:uid="{00000000-0005-0000-0000-0000091F0000}"/>
    <cellStyle name="Normal 9 2 2 8 3 2" xfId="15854" xr:uid="{EE409C0C-11A6-42AD-8909-E984FFC8189C}"/>
    <cellStyle name="Normal 9 2 2 8 4" xfId="11637" xr:uid="{619F4DE2-933B-4461-9F8E-24750A711973}"/>
    <cellStyle name="Normal 9 2 2 9" xfId="2658" xr:uid="{00000000-0005-0000-0000-00000A1F0000}"/>
    <cellStyle name="Normal 9 2 2 9 2" xfId="6941" xr:uid="{00000000-0005-0000-0000-00000B1F0000}"/>
    <cellStyle name="Normal 9 2 2 9 2 2" xfId="16267" xr:uid="{93CE602A-C03C-4780-B6E3-1866111ED275}"/>
    <cellStyle name="Normal 9 2 2 9 3" xfId="12050" xr:uid="{791CFD0D-0CB8-4C35-94A8-8AFD47EDC279}"/>
    <cellStyle name="Normal 9 2 3" xfId="520" xr:uid="{00000000-0005-0000-0000-00000C1F0000}"/>
    <cellStyle name="Normal 9 2 3 10" xfId="8838" xr:uid="{3F59BADF-95CF-4831-9CE1-8ACBDD585DF1}"/>
    <cellStyle name="Normal 9 2 3 10 2" xfId="18162" xr:uid="{06B08CC8-B01D-4DEA-BE3A-9FA2CC5C88F0}"/>
    <cellStyle name="Normal 9 2 3 11" xfId="9993" xr:uid="{F2B471D0-9918-4BF1-AB06-858B68828ECD}"/>
    <cellStyle name="Normal 9 2 3 2" xfId="521" xr:uid="{00000000-0005-0000-0000-00000D1F0000}"/>
    <cellStyle name="Normal 9 2 3 2 10" xfId="9994" xr:uid="{0A597458-69E2-4C8D-B1E9-0AF18B5267BB}"/>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985A901C-DA7A-4C63-9637-BB1CBD1564CE}"/>
    <cellStyle name="Normal 9 2 3 2 2 2 2 3" xfId="12553" xr:uid="{88B85568-BFC6-4491-9537-9E77AAA46586}"/>
    <cellStyle name="Normal 9 2 3 2 2 2 3" xfId="5299" xr:uid="{00000000-0005-0000-0000-0000121F0000}"/>
    <cellStyle name="Normal 9 2 3 2 2 2 3 2" xfId="14625" xr:uid="{1D7DC025-3424-4339-9C34-68F38FFD3CA7}"/>
    <cellStyle name="Normal 9 2 3 2 2 2 4" xfId="9573" xr:uid="{376F8566-2407-40B8-9531-D3E757BE7A23}"/>
    <cellStyle name="Normal 9 2 3 2 2 2 4 2" xfId="18888" xr:uid="{6B41F406-7750-4862-9BE4-054CED4D81EB}"/>
    <cellStyle name="Normal 9 2 3 2 2 2 5" xfId="10408" xr:uid="{28A62BE2-D912-4890-8496-8ED9AA33FED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89ED390E-5068-466F-8953-2193A484CD34}"/>
    <cellStyle name="Normal 9 2 3 2 2 3 2 3" xfId="12966" xr:uid="{14B3C626-71F9-4F64-B958-C66142544313}"/>
    <cellStyle name="Normal 9 2 3 2 2 3 3" xfId="5712" xr:uid="{00000000-0005-0000-0000-0000161F0000}"/>
    <cellStyle name="Normal 9 2 3 2 2 3 3 2" xfId="15038" xr:uid="{0D39466F-DC71-4AA9-8D5B-52CB9D48E846}"/>
    <cellStyle name="Normal 9 2 3 2 2 3 4" xfId="10821" xr:uid="{4C6B9640-0AD2-44F7-A2AF-92BB0B58362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D4A4B6BB-0ED3-4BF9-9C79-2083DFD18EDE}"/>
    <cellStyle name="Normal 9 2 3 2 2 4 2 3" xfId="13379" xr:uid="{32C00E6D-3395-47B1-A535-CD991847418D}"/>
    <cellStyle name="Normal 9 2 3 2 2 4 3" xfId="6125" xr:uid="{00000000-0005-0000-0000-00001A1F0000}"/>
    <cellStyle name="Normal 9 2 3 2 2 4 3 2" xfId="15451" xr:uid="{29C346E9-78AD-4401-9A04-5BDCEE8CD473}"/>
    <cellStyle name="Normal 9 2 3 2 2 4 4" xfId="11234" xr:uid="{6C337853-8F2C-4004-8441-40D0920AEB0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43B22010-5FFB-4E4A-95CE-5A68F3000E01}"/>
    <cellStyle name="Normal 9 2 3 2 2 5 2 3" xfId="13792" xr:uid="{8D285CFC-C462-48D8-87E4-F57C74F8C13C}"/>
    <cellStyle name="Normal 9 2 3 2 2 5 3" xfId="6538" xr:uid="{00000000-0005-0000-0000-00001E1F0000}"/>
    <cellStyle name="Normal 9 2 3 2 2 5 3 2" xfId="15864" xr:uid="{29D599E0-2EEC-4688-A79E-D90C4E5B0FA3}"/>
    <cellStyle name="Normal 9 2 3 2 2 5 4" xfId="11647" xr:uid="{236839D3-52D4-4A09-B364-B4E7DF4DD298}"/>
    <cellStyle name="Normal 9 2 3 2 2 6" xfId="2668" xr:uid="{00000000-0005-0000-0000-00001F1F0000}"/>
    <cellStyle name="Normal 9 2 3 2 2 6 2" xfId="6951" xr:uid="{00000000-0005-0000-0000-0000201F0000}"/>
    <cellStyle name="Normal 9 2 3 2 2 6 2 2" xfId="16277" xr:uid="{4C308650-730F-4250-8262-760C40BB51AC}"/>
    <cellStyle name="Normal 9 2 3 2 2 6 3" xfId="12060" xr:uid="{B41EF58D-A122-47C9-8BD6-7F5053989AC0}"/>
    <cellStyle name="Normal 9 2 3 2 2 7" xfId="4886" xr:uid="{00000000-0005-0000-0000-0000211F0000}"/>
    <cellStyle name="Normal 9 2 3 2 2 7 2" xfId="14212" xr:uid="{ADAC37A2-917F-4402-ABB3-5B08460E076D}"/>
    <cellStyle name="Normal 9 2 3 2 2 8" xfId="9148" xr:uid="{E1A2F3F0-C8EA-47FA-BB37-18F117041A87}"/>
    <cellStyle name="Normal 9 2 3 2 2 8 2" xfId="18472" xr:uid="{1E21DE69-C86A-497F-8C6E-991F3003B207}"/>
    <cellStyle name="Normal 9 2 3 2 2 9" xfId="9995" xr:uid="{255DE8B8-200C-4FFB-B53F-487F15460B8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187D848F-3579-460B-97F5-C2E1FCA3EE65}"/>
    <cellStyle name="Normal 9 2 3 2 3 2 3" xfId="12552" xr:uid="{A370BCD3-2E7D-4908-9B47-134A0F20F86C}"/>
    <cellStyle name="Normal 9 2 3 2 3 3" xfId="5298" xr:uid="{00000000-0005-0000-0000-0000251F0000}"/>
    <cellStyle name="Normal 9 2 3 2 3 3 2" xfId="14624" xr:uid="{78B4C49B-633B-4126-8729-8E9CE5354224}"/>
    <cellStyle name="Normal 9 2 3 2 3 4" xfId="9366" xr:uid="{136A6B94-9CAA-4F6C-B09D-7385900FCA38}"/>
    <cellStyle name="Normal 9 2 3 2 3 4 2" xfId="18681" xr:uid="{C7EDD096-2233-4BF8-82DC-FD2C034AFA61}"/>
    <cellStyle name="Normal 9 2 3 2 3 5" xfId="10407" xr:uid="{DF6269DE-09BC-4D93-A893-328E4DDA72E4}"/>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034E7E82-AFEE-4F94-803A-2CD6731A0A95}"/>
    <cellStyle name="Normal 9 2 3 2 4 2 3" xfId="12965" xr:uid="{6383B163-819E-484D-A787-A910370C7C74}"/>
    <cellStyle name="Normal 9 2 3 2 4 3" xfId="5711" xr:uid="{00000000-0005-0000-0000-0000291F0000}"/>
    <cellStyle name="Normal 9 2 3 2 4 3 2" xfId="15037" xr:uid="{3C4BABE7-9274-4BB9-9510-7DDDC14C43BE}"/>
    <cellStyle name="Normal 9 2 3 2 4 4" xfId="10820" xr:uid="{9E3996DE-B151-48D1-8D23-EE8A29E7F764}"/>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44FE0309-05AE-43B5-A7B0-9B05E5BFEF2C}"/>
    <cellStyle name="Normal 9 2 3 2 5 2 3" xfId="13378" xr:uid="{C6B1C75F-DD1A-4CDF-A67C-9D39AE1A0AAF}"/>
    <cellStyle name="Normal 9 2 3 2 5 3" xfId="6124" xr:uid="{00000000-0005-0000-0000-00002D1F0000}"/>
    <cellStyle name="Normal 9 2 3 2 5 3 2" xfId="15450" xr:uid="{251AC3F2-281E-49A4-87FD-6D986B6EA9BD}"/>
    <cellStyle name="Normal 9 2 3 2 5 4" xfId="11233" xr:uid="{F3AD37C3-10C2-4E1E-9E15-E90F17F2DF5B}"/>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90B863E6-50F2-4B23-B7D1-7098FB9FD178}"/>
    <cellStyle name="Normal 9 2 3 2 6 2 3" xfId="13791" xr:uid="{10C292AD-40EB-4E2A-9CAE-DEFB289B8910}"/>
    <cellStyle name="Normal 9 2 3 2 6 3" xfId="6537" xr:uid="{00000000-0005-0000-0000-0000311F0000}"/>
    <cellStyle name="Normal 9 2 3 2 6 3 2" xfId="15863" xr:uid="{C9C80FBA-A2BE-4F2A-B780-B3D41F6F4DF1}"/>
    <cellStyle name="Normal 9 2 3 2 6 4" xfId="11646" xr:uid="{BBDB62AB-F811-42BB-AAF9-D51730AC032E}"/>
    <cellStyle name="Normal 9 2 3 2 7" xfId="2667" xr:uid="{00000000-0005-0000-0000-0000321F0000}"/>
    <cellStyle name="Normal 9 2 3 2 7 2" xfId="6950" xr:uid="{00000000-0005-0000-0000-0000331F0000}"/>
    <cellStyle name="Normal 9 2 3 2 7 2 2" xfId="16276" xr:uid="{1AEFE52D-2E4B-4E03-B5E4-E5B6FC83943D}"/>
    <cellStyle name="Normal 9 2 3 2 7 3" xfId="12059" xr:uid="{96398D3C-5575-463A-9CC5-3B231EE8B19A}"/>
    <cellStyle name="Normal 9 2 3 2 8" xfId="4885" xr:uid="{00000000-0005-0000-0000-0000341F0000}"/>
    <cellStyle name="Normal 9 2 3 2 8 2" xfId="14211" xr:uid="{3F4D26E6-FB09-4066-B92F-C0916C8E42A3}"/>
    <cellStyle name="Normal 9 2 3 2 9" xfId="8941" xr:uid="{DDA1E375-E708-45D0-9119-207D493A75BA}"/>
    <cellStyle name="Normal 9 2 3 2 9 2" xfId="18265" xr:uid="{1EA2F9F6-493A-4307-B343-A2DE331ED174}"/>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8AB0E5CE-DEF1-4342-804B-3A9C44C11DD6}"/>
    <cellStyle name="Normal 9 2 3 3 2 2 3" xfId="12554" xr:uid="{8DD48B81-DCEB-418E-9080-CB7547BFF8B3}"/>
    <cellStyle name="Normal 9 2 3 3 2 3" xfId="5300" xr:uid="{00000000-0005-0000-0000-0000391F0000}"/>
    <cellStyle name="Normal 9 2 3 3 2 3 2" xfId="14626" xr:uid="{E445350C-0F26-44AF-A8C5-9B0BBAE0D288}"/>
    <cellStyle name="Normal 9 2 3 3 2 4" xfId="9470" xr:uid="{B46EA5E7-4A9D-405A-94B0-2C155F0DE1F1}"/>
    <cellStyle name="Normal 9 2 3 3 2 4 2" xfId="18785" xr:uid="{7D982381-BB37-4E29-9127-90553989FB8D}"/>
    <cellStyle name="Normal 9 2 3 3 2 5" xfId="10409" xr:uid="{6AA5DC39-242D-4451-88AD-06B2D2839D69}"/>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583BD94A-E368-4716-A56C-FD55CB64ED61}"/>
    <cellStyle name="Normal 9 2 3 3 3 2 3" xfId="12967" xr:uid="{FC08ABDA-4C26-4A7E-B52F-8BAB174EE136}"/>
    <cellStyle name="Normal 9 2 3 3 3 3" xfId="5713" xr:uid="{00000000-0005-0000-0000-00003D1F0000}"/>
    <cellStyle name="Normal 9 2 3 3 3 3 2" xfId="15039" xr:uid="{2369DE72-70A8-42BB-84B8-11B78DBB03A6}"/>
    <cellStyle name="Normal 9 2 3 3 3 4" xfId="10822" xr:uid="{DC939FB5-B537-439D-B796-1E2D9E0064C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9ADAA94F-B3AB-4172-8528-93CD8F86BC6E}"/>
    <cellStyle name="Normal 9 2 3 3 4 2 3" xfId="13380" xr:uid="{1ACFC6D4-06C9-48C4-A1AD-73D962CA2849}"/>
    <cellStyle name="Normal 9 2 3 3 4 3" xfId="6126" xr:uid="{00000000-0005-0000-0000-0000411F0000}"/>
    <cellStyle name="Normal 9 2 3 3 4 3 2" xfId="15452" xr:uid="{96F0D24D-41E4-4B25-AF7C-7EC09DE1F450}"/>
    <cellStyle name="Normal 9 2 3 3 4 4" xfId="11235" xr:uid="{B1A7AA7B-8F5A-4169-AFF6-4C49DBA91D5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600F2E86-045B-4D38-A4D6-B51B46A42EB4}"/>
    <cellStyle name="Normal 9 2 3 3 5 2 3" xfId="13793" xr:uid="{C34BD37D-80CF-4FFF-9DE2-7E4794CFEEA4}"/>
    <cellStyle name="Normal 9 2 3 3 5 3" xfId="6539" xr:uid="{00000000-0005-0000-0000-0000451F0000}"/>
    <cellStyle name="Normal 9 2 3 3 5 3 2" xfId="15865" xr:uid="{69DBD78E-3D46-4C95-A924-84E556C79BC4}"/>
    <cellStyle name="Normal 9 2 3 3 5 4" xfId="11648" xr:uid="{40778EF7-4CA2-4588-8A6A-4EDB5ADF6489}"/>
    <cellStyle name="Normal 9 2 3 3 6" xfId="2669" xr:uid="{00000000-0005-0000-0000-0000461F0000}"/>
    <cellStyle name="Normal 9 2 3 3 6 2" xfId="6952" xr:uid="{00000000-0005-0000-0000-0000471F0000}"/>
    <cellStyle name="Normal 9 2 3 3 6 2 2" xfId="16278" xr:uid="{4414C6F6-9230-41A2-B344-7BF08F8D1D4F}"/>
    <cellStyle name="Normal 9 2 3 3 6 3" xfId="12061" xr:uid="{86C657B2-33D5-4645-9958-7C3B12336103}"/>
    <cellStyle name="Normal 9 2 3 3 7" xfId="4887" xr:uid="{00000000-0005-0000-0000-0000481F0000}"/>
    <cellStyle name="Normal 9 2 3 3 7 2" xfId="14213" xr:uid="{7225A422-21E8-4F4F-AC45-07239761D357}"/>
    <cellStyle name="Normal 9 2 3 3 8" xfId="9045" xr:uid="{CD23D75F-FCE1-471A-A55A-DAC6FB15D069}"/>
    <cellStyle name="Normal 9 2 3 3 8 2" xfId="18369" xr:uid="{2F3BEF58-0972-4054-8D3F-5CC8A8C67CDD}"/>
    <cellStyle name="Normal 9 2 3 3 9" xfId="9996" xr:uid="{F2593A9E-AF36-44E0-83B5-EED030847318}"/>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94071F0F-4F78-4575-A613-D1431055E6CB}"/>
    <cellStyle name="Normal 9 2 3 4 2 3" xfId="12551" xr:uid="{5D2B24A3-6C66-46EA-968A-9B17CD806D27}"/>
    <cellStyle name="Normal 9 2 3 4 3" xfId="5297" xr:uid="{00000000-0005-0000-0000-00004C1F0000}"/>
    <cellStyle name="Normal 9 2 3 4 3 2" xfId="14623" xr:uid="{D7B31200-8332-42F8-B029-7DAE73295234}"/>
    <cellStyle name="Normal 9 2 3 4 4" xfId="9263" xr:uid="{8E7B719A-F76B-4A2B-A5A7-1A883FD6976F}"/>
    <cellStyle name="Normal 9 2 3 4 4 2" xfId="18578" xr:uid="{8444909B-7420-4100-BD2E-DBA2C044FF34}"/>
    <cellStyle name="Normal 9 2 3 4 5" xfId="10406" xr:uid="{9A3105D9-1E71-4734-AE55-655567D23D89}"/>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35646211-F028-4A44-BFE4-4B04E07D3435}"/>
    <cellStyle name="Normal 9 2 3 5 2 3" xfId="12964" xr:uid="{F73AC870-88D0-44F3-AA2F-3120A6C3B3D6}"/>
    <cellStyle name="Normal 9 2 3 5 3" xfId="5710" xr:uid="{00000000-0005-0000-0000-0000501F0000}"/>
    <cellStyle name="Normal 9 2 3 5 3 2" xfId="15036" xr:uid="{CA4F8165-DDB5-450B-A315-920CD532EC01}"/>
    <cellStyle name="Normal 9 2 3 5 4" xfId="10819" xr:uid="{D7797BB5-D721-44E0-A6EF-CC9BE42A56BA}"/>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40E6F5AB-64BE-40DD-B158-591DA510164A}"/>
    <cellStyle name="Normal 9 2 3 6 2 3" xfId="13377" xr:uid="{FA3B28C9-E54A-47B1-A611-BCB497C67DD6}"/>
    <cellStyle name="Normal 9 2 3 6 3" xfId="6123" xr:uid="{00000000-0005-0000-0000-0000541F0000}"/>
    <cellStyle name="Normal 9 2 3 6 3 2" xfId="15449" xr:uid="{E374A11D-82AB-4E5B-92D7-69411F55A4D5}"/>
    <cellStyle name="Normal 9 2 3 6 4" xfId="11232" xr:uid="{691757F0-DC57-46B5-A7DA-04323F19C7A9}"/>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A1F56534-E88E-459C-86A3-07CC4E1BDB25}"/>
    <cellStyle name="Normal 9 2 3 7 2 3" xfId="13790" xr:uid="{71CD6F27-031B-4CF2-9A1C-2A0DB272B295}"/>
    <cellStyle name="Normal 9 2 3 7 3" xfId="6536" xr:uid="{00000000-0005-0000-0000-0000581F0000}"/>
    <cellStyle name="Normal 9 2 3 7 3 2" xfId="15862" xr:uid="{9882D639-39BD-47C1-BFD1-62959DDEA5DB}"/>
    <cellStyle name="Normal 9 2 3 7 4" xfId="11645" xr:uid="{5460C533-D3DE-4357-B421-981B41936A99}"/>
    <cellStyle name="Normal 9 2 3 8" xfId="2666" xr:uid="{00000000-0005-0000-0000-0000591F0000}"/>
    <cellStyle name="Normal 9 2 3 8 2" xfId="6949" xr:uid="{00000000-0005-0000-0000-00005A1F0000}"/>
    <cellStyle name="Normal 9 2 3 8 2 2" xfId="16275" xr:uid="{B230F9B4-44D4-4528-8433-7E09D3ECA0F8}"/>
    <cellStyle name="Normal 9 2 3 8 3" xfId="12058" xr:uid="{1493D98F-4999-4A3F-BF0E-E0019805C38C}"/>
    <cellStyle name="Normal 9 2 3 9" xfId="4884" xr:uid="{00000000-0005-0000-0000-00005B1F0000}"/>
    <cellStyle name="Normal 9 2 3 9 2" xfId="14210" xr:uid="{3E220E68-C090-4DC2-8D42-DA827471EB9D}"/>
    <cellStyle name="Normal 9 2 4" xfId="524" xr:uid="{00000000-0005-0000-0000-00005C1F0000}"/>
    <cellStyle name="Normal 9 2 4 10" xfId="9997" xr:uid="{E5DA6521-5344-4FBC-9954-D369D8AF70C1}"/>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0BB7EBEB-A858-49D3-9D9C-71FF0AEEBFF3}"/>
    <cellStyle name="Normal 9 2 4 2 2 2 3" xfId="12556" xr:uid="{494B37A9-6CCE-4EC7-9889-BDF1B0D99752}"/>
    <cellStyle name="Normal 9 2 4 2 2 3" xfId="5302" xr:uid="{00000000-0005-0000-0000-0000611F0000}"/>
    <cellStyle name="Normal 9 2 4 2 2 3 2" xfId="14628" xr:uid="{130FD39B-F339-4C01-AACB-A1C2BFD765F7}"/>
    <cellStyle name="Normal 9 2 4 2 2 4" xfId="9489" xr:uid="{4BA9DC16-58A7-4D6B-90A6-6BB0C51A0279}"/>
    <cellStyle name="Normal 9 2 4 2 2 4 2" xfId="18804" xr:uid="{E1DE83FA-11C7-4C8E-B1B5-D4BE19F4D5CB}"/>
    <cellStyle name="Normal 9 2 4 2 2 5" xfId="10411" xr:uid="{875C148F-660C-487C-8500-852C10CCD7A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168A5D30-8A87-4F78-BE6B-17C5ACDD58DC}"/>
    <cellStyle name="Normal 9 2 4 2 3 2 3" xfId="12969" xr:uid="{7198E845-1C7D-4D18-8D9D-3759A5D8D97E}"/>
    <cellStyle name="Normal 9 2 4 2 3 3" xfId="5715" xr:uid="{00000000-0005-0000-0000-0000651F0000}"/>
    <cellStyle name="Normal 9 2 4 2 3 3 2" xfId="15041" xr:uid="{0D925D63-A165-4E73-B19B-9FC11F4A61AD}"/>
    <cellStyle name="Normal 9 2 4 2 3 4" xfId="10824" xr:uid="{E1FBB512-6126-4723-A671-D594A0A7F27C}"/>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E4036630-C64E-4305-9BDC-DB30F0178EE3}"/>
    <cellStyle name="Normal 9 2 4 2 4 2 3" xfId="13382" xr:uid="{913C442C-3326-4FEC-B0B9-847AFC0BFFE8}"/>
    <cellStyle name="Normal 9 2 4 2 4 3" xfId="6128" xr:uid="{00000000-0005-0000-0000-0000691F0000}"/>
    <cellStyle name="Normal 9 2 4 2 4 3 2" xfId="15454" xr:uid="{90EDD91C-D095-4868-B473-2625A3901D2F}"/>
    <cellStyle name="Normal 9 2 4 2 4 4" xfId="11237" xr:uid="{21BF8029-2A1D-43ED-82D5-E934B70E1B4A}"/>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3D2F100A-0DB3-4CEA-B3FF-37EE59112DB3}"/>
    <cellStyle name="Normal 9 2 4 2 5 2 3" xfId="13795" xr:uid="{EE1455EF-78D6-4046-92E0-98F537967EDE}"/>
    <cellStyle name="Normal 9 2 4 2 5 3" xfId="6541" xr:uid="{00000000-0005-0000-0000-00006D1F0000}"/>
    <cellStyle name="Normal 9 2 4 2 5 3 2" xfId="15867" xr:uid="{0E80913B-8D19-4FDC-B7B9-81F9CEA05C07}"/>
    <cellStyle name="Normal 9 2 4 2 5 4" xfId="11650" xr:uid="{529E725A-CBBA-42F9-9EDD-1E3AFD18D5E6}"/>
    <cellStyle name="Normal 9 2 4 2 6" xfId="2671" xr:uid="{00000000-0005-0000-0000-00006E1F0000}"/>
    <cellStyle name="Normal 9 2 4 2 6 2" xfId="6954" xr:uid="{00000000-0005-0000-0000-00006F1F0000}"/>
    <cellStyle name="Normal 9 2 4 2 6 2 2" xfId="16280" xr:uid="{2A47D78B-B121-4EF0-A8CF-BCBE3F7DB570}"/>
    <cellStyle name="Normal 9 2 4 2 6 3" xfId="12063" xr:uid="{9E760FEE-1098-41B4-A0E3-C35B8F74C43C}"/>
    <cellStyle name="Normal 9 2 4 2 7" xfId="4889" xr:uid="{00000000-0005-0000-0000-0000701F0000}"/>
    <cellStyle name="Normal 9 2 4 2 7 2" xfId="14215" xr:uid="{3ABF6E39-6E17-4AAD-BF96-D29FA869647B}"/>
    <cellStyle name="Normal 9 2 4 2 8" xfId="9064" xr:uid="{7D4090C3-C767-4FFF-8A1F-282B2C8BAE68}"/>
    <cellStyle name="Normal 9 2 4 2 8 2" xfId="18388" xr:uid="{24FF6471-3858-43B0-8D72-FE4C8B499553}"/>
    <cellStyle name="Normal 9 2 4 2 9" xfId="9998" xr:uid="{ACD38A7C-C4E7-440D-901B-0055B2024F81}"/>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6E3069A0-D874-4DB7-AB20-75130A1C1B85}"/>
    <cellStyle name="Normal 9 2 4 3 2 3" xfId="12555" xr:uid="{FC772DFB-A9FF-4BE3-80AC-CF0966C662B2}"/>
    <cellStyle name="Normal 9 2 4 3 3" xfId="5301" xr:uid="{00000000-0005-0000-0000-0000741F0000}"/>
    <cellStyle name="Normal 9 2 4 3 3 2" xfId="14627" xr:uid="{FD0D7865-DF4B-4A94-99FE-CAB8D6AF2E28}"/>
    <cellStyle name="Normal 9 2 4 3 4" xfId="9282" xr:uid="{2471E5AC-3D06-4E90-9462-C54FACA9B22B}"/>
    <cellStyle name="Normal 9 2 4 3 4 2" xfId="18597" xr:uid="{323436E4-BBB9-4434-BC4F-D4D35EA1B7A3}"/>
    <cellStyle name="Normal 9 2 4 3 5" xfId="10410" xr:uid="{EFA41B1E-5F98-4AAB-A114-53B6A092A816}"/>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4BD4E5EE-486B-4DAB-8723-21963DC08DCD}"/>
    <cellStyle name="Normal 9 2 4 4 2 3" xfId="12968" xr:uid="{37C5DD47-2523-4DD8-8868-0AB7E696BACE}"/>
    <cellStyle name="Normal 9 2 4 4 3" xfId="5714" xr:uid="{00000000-0005-0000-0000-0000781F0000}"/>
    <cellStyle name="Normal 9 2 4 4 3 2" xfId="15040" xr:uid="{CEA2962D-B409-4C38-8DEB-1551A05C3D65}"/>
    <cellStyle name="Normal 9 2 4 4 4" xfId="10823" xr:uid="{FE138B43-2E74-4AF7-9680-B672C6E9FAD6}"/>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02FD1366-18A6-4BAD-B3CE-DB066C298770}"/>
    <cellStyle name="Normal 9 2 4 5 2 3" xfId="13381" xr:uid="{4690AF8F-D878-4080-BDC5-E9959BAF940E}"/>
    <cellStyle name="Normal 9 2 4 5 3" xfId="6127" xr:uid="{00000000-0005-0000-0000-00007C1F0000}"/>
    <cellStyle name="Normal 9 2 4 5 3 2" xfId="15453" xr:uid="{4A6F288B-2D83-426A-B4E0-20E96771FAFD}"/>
    <cellStyle name="Normal 9 2 4 5 4" xfId="11236" xr:uid="{95F0DE5F-30C4-4B71-A6E6-2298090CB3C3}"/>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FAFA5F5C-B473-4564-AD62-4F5FE3437B6A}"/>
    <cellStyle name="Normal 9 2 4 6 2 3" xfId="13794" xr:uid="{9F149E57-C75D-4662-9D77-B50F970A7D60}"/>
    <cellStyle name="Normal 9 2 4 6 3" xfId="6540" xr:uid="{00000000-0005-0000-0000-0000801F0000}"/>
    <cellStyle name="Normal 9 2 4 6 3 2" xfId="15866" xr:uid="{0FFBB15F-B556-4682-820E-0674385B4775}"/>
    <cellStyle name="Normal 9 2 4 6 4" xfId="11649" xr:uid="{86AA6BD5-0598-4157-B6EE-1AD0B8EB3E79}"/>
    <cellStyle name="Normal 9 2 4 7" xfId="2670" xr:uid="{00000000-0005-0000-0000-0000811F0000}"/>
    <cellStyle name="Normal 9 2 4 7 2" xfId="6953" xr:uid="{00000000-0005-0000-0000-0000821F0000}"/>
    <cellStyle name="Normal 9 2 4 7 2 2" xfId="16279" xr:uid="{770FFBCF-C7B0-47E6-BFCE-84953E311032}"/>
    <cellStyle name="Normal 9 2 4 7 3" xfId="12062" xr:uid="{FEB62FCE-B8D2-40A8-92CC-0266BEBF9D29}"/>
    <cellStyle name="Normal 9 2 4 8" xfId="4888" xr:uid="{00000000-0005-0000-0000-0000831F0000}"/>
    <cellStyle name="Normal 9 2 4 8 2" xfId="14214" xr:uid="{5BEF9507-066C-40A5-B103-0B1A40F53E7C}"/>
    <cellStyle name="Normal 9 2 4 9" xfId="8857" xr:uid="{D785C0E6-B403-4CCC-AB0B-78E822EF1E40}"/>
    <cellStyle name="Normal 9 2 4 9 2" xfId="18181" xr:uid="{347C30BF-A584-4F63-8B24-7BB00C01865E}"/>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304DED88-BB48-4776-9CAC-2D2D0F55435D}"/>
    <cellStyle name="Normal 9 2 5 2 2 3" xfId="12557" xr:uid="{E4C0392D-C105-4832-AFFF-E12AD309A700}"/>
    <cellStyle name="Normal 9 2 5 2 3" xfId="5303" xr:uid="{00000000-0005-0000-0000-0000881F0000}"/>
    <cellStyle name="Normal 9 2 5 2 3 2" xfId="14629" xr:uid="{120FB2E6-F56C-44C7-9F79-D39A6499E5FE}"/>
    <cellStyle name="Normal 9 2 5 2 4" xfId="9398" xr:uid="{5B2A416E-986C-4898-8893-9EAFDDDBCDD4}"/>
    <cellStyle name="Normal 9 2 5 2 4 2" xfId="18713" xr:uid="{9F9E28BF-35C1-4D2F-A6FC-F86F023D08AA}"/>
    <cellStyle name="Normal 9 2 5 2 5" xfId="10412" xr:uid="{90C04934-0A36-4A3A-A8D3-C438DA6A97D2}"/>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C52723A4-0F47-40EE-B434-D78E74AF3590}"/>
    <cellStyle name="Normal 9 2 5 3 2 3" xfId="12970" xr:uid="{C7D32E43-0D89-4B0F-94D9-110B43BD0365}"/>
    <cellStyle name="Normal 9 2 5 3 3" xfId="5716" xr:uid="{00000000-0005-0000-0000-00008C1F0000}"/>
    <cellStyle name="Normal 9 2 5 3 3 2" xfId="15042" xr:uid="{C5B22432-01F2-462A-B853-512DA67EF4EB}"/>
    <cellStyle name="Normal 9 2 5 3 4" xfId="10825" xr:uid="{DBB9574E-AEC9-4A5B-BDAB-C4ECA44FEA0D}"/>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396B4A94-B9B3-4D42-A54C-9A568B2BFAEE}"/>
    <cellStyle name="Normal 9 2 5 4 2 3" xfId="13383" xr:uid="{5BAC7E76-0144-4799-BF67-B33FA2F996F9}"/>
    <cellStyle name="Normal 9 2 5 4 3" xfId="6129" xr:uid="{00000000-0005-0000-0000-0000901F0000}"/>
    <cellStyle name="Normal 9 2 5 4 3 2" xfId="15455" xr:uid="{BD00CE84-061B-4F12-A956-AC24D9CA91B2}"/>
    <cellStyle name="Normal 9 2 5 4 4" xfId="11238" xr:uid="{FF744429-CA1B-4897-ABAB-B8DFC991A0C3}"/>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30E09F64-FE9A-49D6-8C29-2F206EB03D0A}"/>
    <cellStyle name="Normal 9 2 5 5 2 3" xfId="13796" xr:uid="{9201FBC7-9ABC-4033-BF0A-D45BC3309FB6}"/>
    <cellStyle name="Normal 9 2 5 5 3" xfId="6542" xr:uid="{00000000-0005-0000-0000-0000941F0000}"/>
    <cellStyle name="Normal 9 2 5 5 3 2" xfId="15868" xr:uid="{6094D554-C9E1-4D1A-B3F5-461D308F8AE8}"/>
    <cellStyle name="Normal 9 2 5 5 4" xfId="11651" xr:uid="{634378C6-538E-46AF-AF26-C283E337432B}"/>
    <cellStyle name="Normal 9 2 5 6" xfId="2672" xr:uid="{00000000-0005-0000-0000-0000951F0000}"/>
    <cellStyle name="Normal 9 2 5 6 2" xfId="6955" xr:uid="{00000000-0005-0000-0000-0000961F0000}"/>
    <cellStyle name="Normal 9 2 5 6 2 2" xfId="16281" xr:uid="{981C5AAB-BD80-44AD-B351-D2CC786DF7C3}"/>
    <cellStyle name="Normal 9 2 5 6 3" xfId="12064" xr:uid="{3B472AC4-46E8-4162-84FF-858A8C1DA80F}"/>
    <cellStyle name="Normal 9 2 5 7" xfId="4890" xr:uid="{00000000-0005-0000-0000-0000971F0000}"/>
    <cellStyle name="Normal 9 2 5 7 2" xfId="14216" xr:uid="{980D62EC-A9D9-4DA8-9DA4-7A37001BA045}"/>
    <cellStyle name="Normal 9 2 5 8" xfId="8973" xr:uid="{BA9464C2-72F7-4B38-B1BD-6986FFA433D9}"/>
    <cellStyle name="Normal 9 2 5 8 2" xfId="18297" xr:uid="{EB87DB4C-D0E2-4E58-9811-F42A728087E6}"/>
    <cellStyle name="Normal 9 2 5 9" xfId="9999" xr:uid="{BD1D9721-6713-40AB-8B92-98A350715D7C}"/>
    <cellStyle name="Normal 9 2 6" xfId="978" xr:uid="{00000000-0005-0000-0000-0000981F0000}"/>
    <cellStyle name="Normal 9 2 6 2" xfId="3211" xr:uid="{00000000-0005-0000-0000-0000991F0000}"/>
    <cellStyle name="Normal 9 2 6 2 2" xfId="7433" xr:uid="{00000000-0005-0000-0000-00009A1F0000}"/>
    <cellStyle name="Normal 9 2 6 2 2 2" xfId="16759" xr:uid="{EB2DDB8A-5713-4299-81C8-80C0C239CDC8}"/>
    <cellStyle name="Normal 9 2 6 2 3" xfId="12542" xr:uid="{E7CFFE23-3B3E-40DE-BEEC-27BE041E683A}"/>
    <cellStyle name="Normal 9 2 6 3" xfId="5288" xr:uid="{00000000-0005-0000-0000-00009B1F0000}"/>
    <cellStyle name="Normal 9 2 6 3 2" xfId="14614" xr:uid="{18255544-0162-4A88-816B-5ECCBAF494F5}"/>
    <cellStyle name="Normal 9 2 6 4" xfId="9176" xr:uid="{F3933A08-5B20-47C9-B0FC-7B73F4B0BA7D}"/>
    <cellStyle name="Normal 9 2 6 4 2" xfId="18494" xr:uid="{6CCD07F0-0669-4994-9884-738B95899198}"/>
    <cellStyle name="Normal 9 2 6 5" xfId="10397" xr:uid="{B8157813-5CEF-4F13-A928-D939BF5FD2C8}"/>
    <cellStyle name="Normal 9 2 7" xfId="1394" xr:uid="{00000000-0005-0000-0000-00009C1F0000}"/>
    <cellStyle name="Normal 9 2 7 2" xfId="3624" xr:uid="{00000000-0005-0000-0000-00009D1F0000}"/>
    <cellStyle name="Normal 9 2 7 2 2" xfId="7846" xr:uid="{00000000-0005-0000-0000-00009E1F0000}"/>
    <cellStyle name="Normal 9 2 7 2 2 2" xfId="17172" xr:uid="{09C205DD-CDAD-420E-9A5A-A2B42EE4DEDA}"/>
    <cellStyle name="Normal 9 2 7 2 3" xfId="12955" xr:uid="{ED554792-CDCE-45A1-95D1-11304E1246EA}"/>
    <cellStyle name="Normal 9 2 7 3" xfId="5701" xr:uid="{00000000-0005-0000-0000-00009F1F0000}"/>
    <cellStyle name="Normal 9 2 7 3 2" xfId="15027" xr:uid="{9701DD35-2C42-4713-AF98-AF6F3D171F1E}"/>
    <cellStyle name="Normal 9 2 7 4" xfId="10810" xr:uid="{19644969-8F0B-4250-9F19-08F7FB0B3A9C}"/>
    <cellStyle name="Normal 9 2 8" xfId="1807" xr:uid="{00000000-0005-0000-0000-0000A01F0000}"/>
    <cellStyle name="Normal 9 2 8 2" xfId="4037" xr:uid="{00000000-0005-0000-0000-0000A11F0000}"/>
    <cellStyle name="Normal 9 2 8 2 2" xfId="8259" xr:uid="{00000000-0005-0000-0000-0000A21F0000}"/>
    <cellStyle name="Normal 9 2 8 2 2 2" xfId="17585" xr:uid="{A8A6179B-211F-49C0-AD4A-BD36A055552A}"/>
    <cellStyle name="Normal 9 2 8 2 3" xfId="13368" xr:uid="{3F83AEC2-F609-4494-BA7A-41B7517D5617}"/>
    <cellStyle name="Normal 9 2 8 3" xfId="6114" xr:uid="{00000000-0005-0000-0000-0000A31F0000}"/>
    <cellStyle name="Normal 9 2 8 3 2" xfId="15440" xr:uid="{FF9F8067-7D33-4ED6-915E-8BCDDE88A0E8}"/>
    <cellStyle name="Normal 9 2 8 4" xfId="11223" xr:uid="{FF72FA9E-25A9-4211-AFDB-6B2CD7D0172E}"/>
    <cellStyle name="Normal 9 2 9" xfId="2221" xr:uid="{00000000-0005-0000-0000-0000A41F0000}"/>
    <cellStyle name="Normal 9 2 9 2" xfId="4450" xr:uid="{00000000-0005-0000-0000-0000A51F0000}"/>
    <cellStyle name="Normal 9 2 9 2 2" xfId="8672" xr:uid="{00000000-0005-0000-0000-0000A61F0000}"/>
    <cellStyle name="Normal 9 2 9 2 2 2" xfId="17998" xr:uid="{71A32FD7-359D-4412-BBD8-E36AE9102C36}"/>
    <cellStyle name="Normal 9 2 9 2 3" xfId="13781" xr:uid="{33783B8F-9C21-49EF-B4BB-49A52B8F80F4}"/>
    <cellStyle name="Normal 9 2 9 3" xfId="6527" xr:uid="{00000000-0005-0000-0000-0000A71F0000}"/>
    <cellStyle name="Normal 9 2 9 3 2" xfId="15853" xr:uid="{39077C16-D0F3-49B9-95DB-4F2B3BB8C24A}"/>
    <cellStyle name="Normal 9 2 9 4" xfId="11636" xr:uid="{CD86E3C5-1275-4F4C-A18D-A9A677A2A8A6}"/>
    <cellStyle name="Normal 9 3" xfId="527" xr:uid="{00000000-0005-0000-0000-0000A81F0000}"/>
    <cellStyle name="Normal 9 3 10" xfId="4891" xr:uid="{00000000-0005-0000-0000-0000A91F0000}"/>
    <cellStyle name="Normal 9 3 10 2" xfId="14217" xr:uid="{B042DF5D-7A64-40DC-A408-E358E61A23D0}"/>
    <cellStyle name="Normal 9 3 11" xfId="8777" xr:uid="{1F3D7E21-FC22-4F0C-9371-3D8250746BB7}"/>
    <cellStyle name="Normal 9 3 11 2" xfId="18101" xr:uid="{CE40E811-AD66-408E-AD9E-259AE1A7B16E}"/>
    <cellStyle name="Normal 9 3 12" xfId="10000" xr:uid="{6E3C49D6-6C52-4C26-A566-AB7AB833C2F8}"/>
    <cellStyle name="Normal 9 3 2" xfId="528" xr:uid="{00000000-0005-0000-0000-0000AA1F0000}"/>
    <cellStyle name="Normal 9 3 2 10" xfId="8840" xr:uid="{94797BE2-1721-4871-A768-79D4D45F48BB}"/>
    <cellStyle name="Normal 9 3 2 10 2" xfId="18164" xr:uid="{31A8E331-ED06-42ED-8843-1D98DEAA080E}"/>
    <cellStyle name="Normal 9 3 2 11" xfId="10001" xr:uid="{A7FDE843-51E1-4942-BCCA-F8D61496D94F}"/>
    <cellStyle name="Normal 9 3 2 2" xfId="529" xr:uid="{00000000-0005-0000-0000-0000AB1F0000}"/>
    <cellStyle name="Normal 9 3 2 2 10" xfId="10002" xr:uid="{A9C1DD47-8E05-4CCE-90D5-5B9B4C2C68C2}"/>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AD8BC28D-6C2F-47E7-8804-85202786C7EF}"/>
    <cellStyle name="Normal 9 3 2 2 2 2 2 3" xfId="12561" xr:uid="{BE297B24-7D52-4E17-ABD8-F3E2E0853A3A}"/>
    <cellStyle name="Normal 9 3 2 2 2 2 3" xfId="5307" xr:uid="{00000000-0005-0000-0000-0000B01F0000}"/>
    <cellStyle name="Normal 9 3 2 2 2 2 3 2" xfId="14633" xr:uid="{A5F50CA1-413E-4AAB-90D5-25CDC7CB0A3E}"/>
    <cellStyle name="Normal 9 3 2 2 2 2 4" xfId="9575" xr:uid="{DA05DE06-1987-4B8E-8439-C692853FF296}"/>
    <cellStyle name="Normal 9 3 2 2 2 2 4 2" xfId="18890" xr:uid="{CE8FFD32-BB4B-4680-BD0C-872392ED7A86}"/>
    <cellStyle name="Normal 9 3 2 2 2 2 5" xfId="10416" xr:uid="{BC8CBD95-37BC-4FBC-9B6E-BFED570BC9D5}"/>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5A3ED8F0-7841-4E3A-8E4C-A93E4FD1EEE0}"/>
    <cellStyle name="Normal 9 3 2 2 2 3 2 3" xfId="12974" xr:uid="{B3C87F9D-F20F-49ED-83C2-1B818EF9A4CB}"/>
    <cellStyle name="Normal 9 3 2 2 2 3 3" xfId="5720" xr:uid="{00000000-0005-0000-0000-0000B41F0000}"/>
    <cellStyle name="Normal 9 3 2 2 2 3 3 2" xfId="15046" xr:uid="{F6CF3B82-7C8D-480D-AE9C-DD7059CA2CD7}"/>
    <cellStyle name="Normal 9 3 2 2 2 3 4" xfId="10829" xr:uid="{B0280E0D-8662-4E8D-BF05-A1D9C7811EA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ABEE2AFC-CE40-4047-A172-B385AFC05B78}"/>
    <cellStyle name="Normal 9 3 2 2 2 4 2 3" xfId="13387" xr:uid="{BF1A9C44-A14A-4602-9CD1-E1B57282A40F}"/>
    <cellStyle name="Normal 9 3 2 2 2 4 3" xfId="6133" xr:uid="{00000000-0005-0000-0000-0000B81F0000}"/>
    <cellStyle name="Normal 9 3 2 2 2 4 3 2" xfId="15459" xr:uid="{22FCF5D2-BE59-480A-AC16-A4F45808D5A1}"/>
    <cellStyle name="Normal 9 3 2 2 2 4 4" xfId="11242" xr:uid="{1014F54C-B653-46C9-89D8-E34AEB61B753}"/>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41AE98BC-28C9-4AAF-A07D-8664361455C8}"/>
    <cellStyle name="Normal 9 3 2 2 2 5 2 3" xfId="13800" xr:uid="{32C43A8C-3DEC-4B47-985E-612D0182744C}"/>
    <cellStyle name="Normal 9 3 2 2 2 5 3" xfId="6546" xr:uid="{00000000-0005-0000-0000-0000BC1F0000}"/>
    <cellStyle name="Normal 9 3 2 2 2 5 3 2" xfId="15872" xr:uid="{668C3F05-367A-40B6-AE43-314D1BA139D3}"/>
    <cellStyle name="Normal 9 3 2 2 2 5 4" xfId="11655" xr:uid="{6627CDC3-6CC7-4B63-B6C5-0D485D5EFCEB}"/>
    <cellStyle name="Normal 9 3 2 2 2 6" xfId="2676" xr:uid="{00000000-0005-0000-0000-0000BD1F0000}"/>
    <cellStyle name="Normal 9 3 2 2 2 6 2" xfId="6959" xr:uid="{00000000-0005-0000-0000-0000BE1F0000}"/>
    <cellStyle name="Normal 9 3 2 2 2 6 2 2" xfId="16285" xr:uid="{6BD24192-98CC-4272-9A1D-6021344108F2}"/>
    <cellStyle name="Normal 9 3 2 2 2 6 3" xfId="12068" xr:uid="{18307CE5-4D80-4770-BA05-11ED1EFC0103}"/>
    <cellStyle name="Normal 9 3 2 2 2 7" xfId="4894" xr:uid="{00000000-0005-0000-0000-0000BF1F0000}"/>
    <cellStyle name="Normal 9 3 2 2 2 7 2" xfId="14220" xr:uid="{45F1B122-A14F-4E43-8AAA-9C068C628DBC}"/>
    <cellStyle name="Normal 9 3 2 2 2 8" xfId="9150" xr:uid="{F54F74BE-A583-4C94-A198-8E0D27AD7F4F}"/>
    <cellStyle name="Normal 9 3 2 2 2 8 2" xfId="18474" xr:uid="{3D6C0189-31B4-456F-BB91-B38DD96B2808}"/>
    <cellStyle name="Normal 9 3 2 2 2 9" xfId="10003" xr:uid="{87C9E8D9-6A45-4572-ACD5-223841BED1E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9F4F5BE7-47B4-4FAC-AFEB-98CA35D75414}"/>
    <cellStyle name="Normal 9 3 2 2 3 2 3" xfId="12560" xr:uid="{E15C61B3-4BB9-493A-AACB-FB01378AF2D7}"/>
    <cellStyle name="Normal 9 3 2 2 3 3" xfId="5306" xr:uid="{00000000-0005-0000-0000-0000C31F0000}"/>
    <cellStyle name="Normal 9 3 2 2 3 3 2" xfId="14632" xr:uid="{E927282B-9ABC-4467-AD96-0BEEB1B64617}"/>
    <cellStyle name="Normal 9 3 2 2 3 4" xfId="9368" xr:uid="{B3189122-1774-442D-BD5B-8DA329618536}"/>
    <cellStyle name="Normal 9 3 2 2 3 4 2" xfId="18683" xr:uid="{0CCE5088-9299-44E4-84A5-6A47E6B901FA}"/>
    <cellStyle name="Normal 9 3 2 2 3 5" xfId="10415" xr:uid="{25CDC263-EB8A-4FA9-9BEF-B5B079C800F8}"/>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1F680B08-B41B-45E8-A988-6B69A85D23DC}"/>
    <cellStyle name="Normal 9 3 2 2 4 2 3" xfId="12973" xr:uid="{566E6DD2-647A-4A9C-B18D-3B6B2500A557}"/>
    <cellStyle name="Normal 9 3 2 2 4 3" xfId="5719" xr:uid="{00000000-0005-0000-0000-0000C71F0000}"/>
    <cellStyle name="Normal 9 3 2 2 4 3 2" xfId="15045" xr:uid="{C9301FF9-96D6-473D-BD74-47520D81EAD1}"/>
    <cellStyle name="Normal 9 3 2 2 4 4" xfId="10828" xr:uid="{02A306DE-C600-4662-BC0F-9755133690EE}"/>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DA206889-3EFC-4D49-8143-66C2BC722510}"/>
    <cellStyle name="Normal 9 3 2 2 5 2 3" xfId="13386" xr:uid="{9D7356EB-811B-44A8-8D86-69BEFB81D414}"/>
    <cellStyle name="Normal 9 3 2 2 5 3" xfId="6132" xr:uid="{00000000-0005-0000-0000-0000CB1F0000}"/>
    <cellStyle name="Normal 9 3 2 2 5 3 2" xfId="15458" xr:uid="{FFE46D3C-F4F3-4190-916A-7DC5012171FB}"/>
    <cellStyle name="Normal 9 3 2 2 5 4" xfId="11241" xr:uid="{188C36C1-D8FE-4470-A3D6-CE9F57B35159}"/>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C5BEAC96-F39F-4CF3-81B1-1C0094197C70}"/>
    <cellStyle name="Normal 9 3 2 2 6 2 3" xfId="13799" xr:uid="{6D9CAA13-8CC3-44E0-8325-5EB3B59179F5}"/>
    <cellStyle name="Normal 9 3 2 2 6 3" xfId="6545" xr:uid="{00000000-0005-0000-0000-0000CF1F0000}"/>
    <cellStyle name="Normal 9 3 2 2 6 3 2" xfId="15871" xr:uid="{21039BC4-19E5-4BD8-BE41-AA33486ABB0D}"/>
    <cellStyle name="Normal 9 3 2 2 6 4" xfId="11654" xr:uid="{5FE04589-7761-4F6C-8BEC-2A0D0C2AC3C4}"/>
    <cellStyle name="Normal 9 3 2 2 7" xfId="2675" xr:uid="{00000000-0005-0000-0000-0000D01F0000}"/>
    <cellStyle name="Normal 9 3 2 2 7 2" xfId="6958" xr:uid="{00000000-0005-0000-0000-0000D11F0000}"/>
    <cellStyle name="Normal 9 3 2 2 7 2 2" xfId="16284" xr:uid="{A0B59F77-71B4-435E-9A55-B2E65CB1E45D}"/>
    <cellStyle name="Normal 9 3 2 2 7 3" xfId="12067" xr:uid="{030A9361-9817-4939-BF6E-59DCE0D9394E}"/>
    <cellStyle name="Normal 9 3 2 2 8" xfId="4893" xr:uid="{00000000-0005-0000-0000-0000D21F0000}"/>
    <cellStyle name="Normal 9 3 2 2 8 2" xfId="14219" xr:uid="{25CBC85B-FEE3-4DAE-BF89-8DB0FBC26967}"/>
    <cellStyle name="Normal 9 3 2 2 9" xfId="8943" xr:uid="{1E59706A-169E-45B8-A6E4-1A0514B9DDBD}"/>
    <cellStyle name="Normal 9 3 2 2 9 2" xfId="18267" xr:uid="{51AED532-3A09-4837-A2DC-B54223705ECC}"/>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9A1BE57A-0326-40B5-8AC5-A6B3B190A58C}"/>
    <cellStyle name="Normal 9 3 2 3 2 2 3" xfId="12562" xr:uid="{DA54F7DA-78B7-4F10-8770-07A2921F5BF6}"/>
    <cellStyle name="Normal 9 3 2 3 2 3" xfId="5308" xr:uid="{00000000-0005-0000-0000-0000D71F0000}"/>
    <cellStyle name="Normal 9 3 2 3 2 3 2" xfId="14634" xr:uid="{394B9BD9-3471-48E5-B461-040D154CC356}"/>
    <cellStyle name="Normal 9 3 2 3 2 4" xfId="9472" xr:uid="{427A8E71-9BC4-47C0-A855-6886AF96C97E}"/>
    <cellStyle name="Normal 9 3 2 3 2 4 2" xfId="18787" xr:uid="{E72BE69A-5EA2-4B9F-A956-EDDCB481F680}"/>
    <cellStyle name="Normal 9 3 2 3 2 5" xfId="10417" xr:uid="{7FCCA217-4198-494E-A0B9-BCA32EFDBB2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8BAB9046-2B00-44BA-ADCE-EF4E3182C373}"/>
    <cellStyle name="Normal 9 3 2 3 3 2 3" xfId="12975" xr:uid="{6107917E-95A2-4DAE-A782-518F78BA1A64}"/>
    <cellStyle name="Normal 9 3 2 3 3 3" xfId="5721" xr:uid="{00000000-0005-0000-0000-0000DB1F0000}"/>
    <cellStyle name="Normal 9 3 2 3 3 3 2" xfId="15047" xr:uid="{61061FCE-A7E3-4BD2-AA17-A500252327CC}"/>
    <cellStyle name="Normal 9 3 2 3 3 4" xfId="10830" xr:uid="{C4144EB6-2A2A-4A22-A43E-93332997F445}"/>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82B002DF-5CDF-42AE-8265-0AF5194E50E1}"/>
    <cellStyle name="Normal 9 3 2 3 4 2 3" xfId="13388" xr:uid="{EF3A466A-948D-44A7-B5CA-F8BC799FB2B8}"/>
    <cellStyle name="Normal 9 3 2 3 4 3" xfId="6134" xr:uid="{00000000-0005-0000-0000-0000DF1F0000}"/>
    <cellStyle name="Normal 9 3 2 3 4 3 2" xfId="15460" xr:uid="{F5489219-31B6-483B-8E78-1B845B3116DF}"/>
    <cellStyle name="Normal 9 3 2 3 4 4" xfId="11243" xr:uid="{0A36EFA9-968C-411E-8923-16D0B1B7C861}"/>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D9F8BA96-CA3F-4E8A-9614-BF493370FEE4}"/>
    <cellStyle name="Normal 9 3 2 3 5 2 3" xfId="13801" xr:uid="{3EFC0A1C-92AC-4F3E-BE6E-33DEB6BD57BE}"/>
    <cellStyle name="Normal 9 3 2 3 5 3" xfId="6547" xr:uid="{00000000-0005-0000-0000-0000E31F0000}"/>
    <cellStyle name="Normal 9 3 2 3 5 3 2" xfId="15873" xr:uid="{CE0D9360-5AC9-4758-8130-7F90DA318166}"/>
    <cellStyle name="Normal 9 3 2 3 5 4" xfId="11656" xr:uid="{022CD873-3850-4754-B13A-80CF89D06B68}"/>
    <cellStyle name="Normal 9 3 2 3 6" xfId="2677" xr:uid="{00000000-0005-0000-0000-0000E41F0000}"/>
    <cellStyle name="Normal 9 3 2 3 6 2" xfId="6960" xr:uid="{00000000-0005-0000-0000-0000E51F0000}"/>
    <cellStyle name="Normal 9 3 2 3 6 2 2" xfId="16286" xr:uid="{38F91FCE-9C52-4F86-9C04-3D63F52C446F}"/>
    <cellStyle name="Normal 9 3 2 3 6 3" xfId="12069" xr:uid="{11459057-75F8-435A-B729-3C671F5B9DD2}"/>
    <cellStyle name="Normal 9 3 2 3 7" xfId="4895" xr:uid="{00000000-0005-0000-0000-0000E61F0000}"/>
    <cellStyle name="Normal 9 3 2 3 7 2" xfId="14221" xr:uid="{9EF9E661-8E80-4605-B3CB-91483BF4EBB5}"/>
    <cellStyle name="Normal 9 3 2 3 8" xfId="9047" xr:uid="{4CBBBE80-D24B-484D-910E-0072EA0E95DD}"/>
    <cellStyle name="Normal 9 3 2 3 8 2" xfId="18371" xr:uid="{2E1B9BE9-CB69-4972-9423-85142566ABEA}"/>
    <cellStyle name="Normal 9 3 2 3 9" xfId="10004" xr:uid="{E4BB8CD6-DC4B-4B85-93CE-4B8CDB4C0308}"/>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5D73F10E-93FF-40DF-ADB4-021392BADD27}"/>
    <cellStyle name="Normal 9 3 2 4 2 3" xfId="12559" xr:uid="{ACC5267A-46BC-4052-8930-D796CAE1106D}"/>
    <cellStyle name="Normal 9 3 2 4 3" xfId="5305" xr:uid="{00000000-0005-0000-0000-0000EA1F0000}"/>
    <cellStyle name="Normal 9 3 2 4 3 2" xfId="14631" xr:uid="{D29199DB-AE6B-418E-907C-183F9F478885}"/>
    <cellStyle name="Normal 9 3 2 4 4" xfId="9265" xr:uid="{BF00A9B8-67BA-48F6-8D48-0E4380D60577}"/>
    <cellStyle name="Normal 9 3 2 4 4 2" xfId="18580" xr:uid="{DA358397-D139-4C8F-9E04-D399E2F3C6D3}"/>
    <cellStyle name="Normal 9 3 2 4 5" xfId="10414" xr:uid="{F98C1268-03C2-4BC3-B004-E3E7252128D6}"/>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BBCCCD4C-E6BF-4C8F-BDB0-FB0ED72CCDFE}"/>
    <cellStyle name="Normal 9 3 2 5 2 3" xfId="12972" xr:uid="{CCE12BF7-2A6C-4051-8E28-427D704E57AA}"/>
    <cellStyle name="Normal 9 3 2 5 3" xfId="5718" xr:uid="{00000000-0005-0000-0000-0000EE1F0000}"/>
    <cellStyle name="Normal 9 3 2 5 3 2" xfId="15044" xr:uid="{36A324B2-374D-4901-8D57-DB16FAFA3CDF}"/>
    <cellStyle name="Normal 9 3 2 5 4" xfId="10827" xr:uid="{8D3FB6EB-9175-417F-AD76-AF0A2E1D1E1A}"/>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10F69CD0-2F23-48D7-B17E-97B534ABD789}"/>
    <cellStyle name="Normal 9 3 2 6 2 3" xfId="13385" xr:uid="{56D243B7-1080-471E-8756-3CE4CBBC1E11}"/>
    <cellStyle name="Normal 9 3 2 6 3" xfId="6131" xr:uid="{00000000-0005-0000-0000-0000F21F0000}"/>
    <cellStyle name="Normal 9 3 2 6 3 2" xfId="15457" xr:uid="{D87F95CE-DC93-47F9-B4CC-F095A8560EE7}"/>
    <cellStyle name="Normal 9 3 2 6 4" xfId="11240" xr:uid="{8D6D0706-B27A-493C-BEFE-C939E315B0A3}"/>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C573D50A-E755-419C-A4F1-DF83C29B8EB5}"/>
    <cellStyle name="Normal 9 3 2 7 2 3" xfId="13798" xr:uid="{2C8B8836-C128-46DC-8D57-15E547308D4F}"/>
    <cellStyle name="Normal 9 3 2 7 3" xfId="6544" xr:uid="{00000000-0005-0000-0000-0000F61F0000}"/>
    <cellStyle name="Normal 9 3 2 7 3 2" xfId="15870" xr:uid="{E2C8DCB8-89E8-400B-9CBA-D49EE4AD1D22}"/>
    <cellStyle name="Normal 9 3 2 7 4" xfId="11653" xr:uid="{E75E3016-8E42-420B-BD5D-ECCE8094DACB}"/>
    <cellStyle name="Normal 9 3 2 8" xfId="2674" xr:uid="{00000000-0005-0000-0000-0000F71F0000}"/>
    <cellStyle name="Normal 9 3 2 8 2" xfId="6957" xr:uid="{00000000-0005-0000-0000-0000F81F0000}"/>
    <cellStyle name="Normal 9 3 2 8 2 2" xfId="16283" xr:uid="{2C676737-4668-4422-9084-68BF29393388}"/>
    <cellStyle name="Normal 9 3 2 8 3" xfId="12066" xr:uid="{5A9A0A42-7A56-4CEF-96E7-79D7F18E3F8B}"/>
    <cellStyle name="Normal 9 3 2 9" xfId="4892" xr:uid="{00000000-0005-0000-0000-0000F91F0000}"/>
    <cellStyle name="Normal 9 3 2 9 2" xfId="14218" xr:uid="{55979C17-DF17-4D1E-9144-A7E6827A23E9}"/>
    <cellStyle name="Normal 9 3 3" xfId="532" xr:uid="{00000000-0005-0000-0000-0000FA1F0000}"/>
    <cellStyle name="Normal 9 3 3 10" xfId="10005" xr:uid="{E8AB8433-9D78-4EC9-9EA0-FD706F0B4498}"/>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A6BA17B2-EC7C-4D8E-A3A9-4CF66E2344F4}"/>
    <cellStyle name="Normal 9 3 3 2 2 2 3" xfId="12564" xr:uid="{08771145-A374-4409-B260-19F6FD379C6A}"/>
    <cellStyle name="Normal 9 3 3 2 2 3" xfId="5310" xr:uid="{00000000-0005-0000-0000-0000FF1F0000}"/>
    <cellStyle name="Normal 9 3 3 2 2 3 2" xfId="14636" xr:uid="{E588056D-1001-42ED-A4D3-17D8DDAF92E3}"/>
    <cellStyle name="Normal 9 3 3 2 2 4" xfId="9512" xr:uid="{2D87B26D-94B2-43FF-B3AD-59DF0A117D21}"/>
    <cellStyle name="Normal 9 3 3 2 2 4 2" xfId="18827" xr:uid="{631660CF-604A-410B-B506-40C790EC60D9}"/>
    <cellStyle name="Normal 9 3 3 2 2 5" xfId="10419" xr:uid="{A1BD2D22-7338-48CF-B302-98D61F8908A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437BDA33-8D74-48AD-A1F5-0B54D56A3A2B}"/>
    <cellStyle name="Normal 9 3 3 2 3 2 3" xfId="12977" xr:uid="{55D127C3-B105-4EDA-BD44-81E8A0B38C3F}"/>
    <cellStyle name="Normal 9 3 3 2 3 3" xfId="5723" xr:uid="{00000000-0005-0000-0000-000003200000}"/>
    <cellStyle name="Normal 9 3 3 2 3 3 2" xfId="15049" xr:uid="{B29F4F22-D762-4648-B258-4D2F4EDF0CC2}"/>
    <cellStyle name="Normal 9 3 3 2 3 4" xfId="10832" xr:uid="{B6C81D5F-2553-4E41-B8CC-8041B9243ED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8B2EB078-7318-4FFD-A6C4-612671316151}"/>
    <cellStyle name="Normal 9 3 3 2 4 2 3" xfId="13390" xr:uid="{4955E88E-187C-41B9-B178-AD31C3456385}"/>
    <cellStyle name="Normal 9 3 3 2 4 3" xfId="6136" xr:uid="{00000000-0005-0000-0000-000007200000}"/>
    <cellStyle name="Normal 9 3 3 2 4 3 2" xfId="15462" xr:uid="{B1C9D9C1-F35B-42B6-8C66-83FA846EED2D}"/>
    <cellStyle name="Normal 9 3 3 2 4 4" xfId="11245" xr:uid="{57308B22-C193-4207-BB16-534ACB9704B4}"/>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51B8B01C-AAC8-4B7B-961E-B5B1ADC5AE14}"/>
    <cellStyle name="Normal 9 3 3 2 5 2 3" xfId="13803" xr:uid="{D1F6DF47-ED0E-4628-A44A-A0046F707ADC}"/>
    <cellStyle name="Normal 9 3 3 2 5 3" xfId="6549" xr:uid="{00000000-0005-0000-0000-00000B200000}"/>
    <cellStyle name="Normal 9 3 3 2 5 3 2" xfId="15875" xr:uid="{F84861D3-11E8-49DC-9732-BA79C5A23DF4}"/>
    <cellStyle name="Normal 9 3 3 2 5 4" xfId="11658" xr:uid="{98792C16-19B4-4B15-B1F4-55827F722A57}"/>
    <cellStyle name="Normal 9 3 3 2 6" xfId="2679" xr:uid="{00000000-0005-0000-0000-00000C200000}"/>
    <cellStyle name="Normal 9 3 3 2 6 2" xfId="6962" xr:uid="{00000000-0005-0000-0000-00000D200000}"/>
    <cellStyle name="Normal 9 3 3 2 6 2 2" xfId="16288" xr:uid="{EF07B824-D83B-4DD4-8FBF-4068BB3CAABF}"/>
    <cellStyle name="Normal 9 3 3 2 6 3" xfId="12071" xr:uid="{CFF3D831-51AA-4CFE-BF1E-8D52A009A683}"/>
    <cellStyle name="Normal 9 3 3 2 7" xfId="4897" xr:uid="{00000000-0005-0000-0000-00000E200000}"/>
    <cellStyle name="Normal 9 3 3 2 7 2" xfId="14223" xr:uid="{93A01750-F3C9-461C-9954-BA2EE556896D}"/>
    <cellStyle name="Normal 9 3 3 2 8" xfId="9087" xr:uid="{B1C8DB1F-59B6-4D6A-B3E7-0CFC4D29D9A9}"/>
    <cellStyle name="Normal 9 3 3 2 8 2" xfId="18411" xr:uid="{FD168E08-CF71-41EA-B56F-5170F4E848F3}"/>
    <cellStyle name="Normal 9 3 3 2 9" xfId="10006" xr:uid="{7B008C52-195C-4CF6-ABE2-51FC86F40D30}"/>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EBB0A80E-B2E8-4EF9-8EF6-223518873B8F}"/>
    <cellStyle name="Normal 9 3 3 3 2 3" xfId="12563" xr:uid="{F524AAE8-7AEA-4BCF-922C-B39581AF012D}"/>
    <cellStyle name="Normal 9 3 3 3 3" xfId="5309" xr:uid="{00000000-0005-0000-0000-000012200000}"/>
    <cellStyle name="Normal 9 3 3 3 3 2" xfId="14635" xr:uid="{062FEDA0-15D2-4696-A073-CA7238FFE151}"/>
    <cellStyle name="Normal 9 3 3 3 4" xfId="9305" xr:uid="{F54F3A88-B268-4905-B4D1-34B996B920C6}"/>
    <cellStyle name="Normal 9 3 3 3 4 2" xfId="18620" xr:uid="{A1DCC9D1-2178-44AF-A071-7E22BDB1B31B}"/>
    <cellStyle name="Normal 9 3 3 3 5" xfId="10418" xr:uid="{F1E5D96C-32CF-41F4-AB35-253892B842CF}"/>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42AB1050-2ED4-4FDD-B9F4-B34AE375846A}"/>
    <cellStyle name="Normal 9 3 3 4 2 3" xfId="12976" xr:uid="{93176028-1E3C-4C1C-AB4A-F97C193690F6}"/>
    <cellStyle name="Normal 9 3 3 4 3" xfId="5722" xr:uid="{00000000-0005-0000-0000-000016200000}"/>
    <cellStyle name="Normal 9 3 3 4 3 2" xfId="15048" xr:uid="{115EB9C7-DDEC-4052-9C62-E63BD21D2B0A}"/>
    <cellStyle name="Normal 9 3 3 4 4" xfId="10831" xr:uid="{67F11E9E-419A-439E-A00A-3FBA4A2F9F8F}"/>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90999754-7EFB-4452-B9DB-D17C04E9FEB0}"/>
    <cellStyle name="Normal 9 3 3 5 2 3" xfId="13389" xr:uid="{FD0E563D-A726-4559-896B-C89878CD3720}"/>
    <cellStyle name="Normal 9 3 3 5 3" xfId="6135" xr:uid="{00000000-0005-0000-0000-00001A200000}"/>
    <cellStyle name="Normal 9 3 3 5 3 2" xfId="15461" xr:uid="{C73656E9-C6DB-4B1A-AE9E-B00B3181A839}"/>
    <cellStyle name="Normal 9 3 3 5 4" xfId="11244" xr:uid="{20111A8F-165D-48E4-B2A5-668FBC0E6944}"/>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C55EC7DF-F869-44DA-8CE1-08A0F040D6BD}"/>
    <cellStyle name="Normal 9 3 3 6 2 3" xfId="13802" xr:uid="{8BA70CEA-283A-434E-9F95-F1BD5241A37E}"/>
    <cellStyle name="Normal 9 3 3 6 3" xfId="6548" xr:uid="{00000000-0005-0000-0000-00001E200000}"/>
    <cellStyle name="Normal 9 3 3 6 3 2" xfId="15874" xr:uid="{249BA036-90A6-4C2E-BF58-112724E7A73E}"/>
    <cellStyle name="Normal 9 3 3 6 4" xfId="11657" xr:uid="{2E22A04A-3C17-4DD8-BEF0-7B5E03C904D7}"/>
    <cellStyle name="Normal 9 3 3 7" xfId="2678" xr:uid="{00000000-0005-0000-0000-00001F200000}"/>
    <cellStyle name="Normal 9 3 3 7 2" xfId="6961" xr:uid="{00000000-0005-0000-0000-000020200000}"/>
    <cellStyle name="Normal 9 3 3 7 2 2" xfId="16287" xr:uid="{76AB03DE-5F68-422E-81B1-F94CD7B8D04C}"/>
    <cellStyle name="Normal 9 3 3 7 3" xfId="12070" xr:uid="{78B35691-C58D-4463-902B-5FD7F45B7540}"/>
    <cellStyle name="Normal 9 3 3 8" xfId="4896" xr:uid="{00000000-0005-0000-0000-000021200000}"/>
    <cellStyle name="Normal 9 3 3 8 2" xfId="14222" xr:uid="{BFCE6804-780A-4BBE-8817-4E8D3E1D13A0}"/>
    <cellStyle name="Normal 9 3 3 9" xfId="8880" xr:uid="{36521590-FD5B-45F7-80A9-41BA557EA820}"/>
    <cellStyle name="Normal 9 3 3 9 2" xfId="18204" xr:uid="{7D3A6284-880F-41FB-A4C8-3151537CF4A6}"/>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F9FF0C1D-870A-4FF3-8693-328279295566}"/>
    <cellStyle name="Normal 9 3 4 2 2 3" xfId="12565" xr:uid="{0BC2738D-8350-481C-8218-366EBB273DA4}"/>
    <cellStyle name="Normal 9 3 4 2 3" xfId="5311" xr:uid="{00000000-0005-0000-0000-000026200000}"/>
    <cellStyle name="Normal 9 3 4 2 3 2" xfId="14637" xr:uid="{338A8FA1-4A60-4402-9443-60662D922B31}"/>
    <cellStyle name="Normal 9 3 4 2 4" xfId="9409" xr:uid="{F8EFC02C-357C-44AD-9BF7-6459F3C595DA}"/>
    <cellStyle name="Normal 9 3 4 2 4 2" xfId="18724" xr:uid="{50F0BC9B-E781-4F86-8B4A-809450005D19}"/>
    <cellStyle name="Normal 9 3 4 2 5" xfId="10420" xr:uid="{0E2775B7-33F4-42BD-973C-8D04A5699AC5}"/>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9C831820-857E-4AB2-AA17-B1713AA4C9C8}"/>
    <cellStyle name="Normal 9 3 4 3 2 3" xfId="12978" xr:uid="{7443FDBD-D1C5-422F-8BEA-5AF3E0FB30E3}"/>
    <cellStyle name="Normal 9 3 4 3 3" xfId="5724" xr:uid="{00000000-0005-0000-0000-00002A200000}"/>
    <cellStyle name="Normal 9 3 4 3 3 2" xfId="15050" xr:uid="{71281246-182D-46FE-8327-59C7BDE28C3F}"/>
    <cellStyle name="Normal 9 3 4 3 4" xfId="10833" xr:uid="{517B88EE-8E1C-4150-AD7D-FED7A7DF2267}"/>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F794C084-9B66-4E50-973D-BF2884779EAA}"/>
    <cellStyle name="Normal 9 3 4 4 2 3" xfId="13391" xr:uid="{7502A7DE-2C6C-4530-973F-3EF7DB37BA86}"/>
    <cellStyle name="Normal 9 3 4 4 3" xfId="6137" xr:uid="{00000000-0005-0000-0000-00002E200000}"/>
    <cellStyle name="Normal 9 3 4 4 3 2" xfId="15463" xr:uid="{4F116981-E74F-4DC1-81D4-C503FA827F40}"/>
    <cellStyle name="Normal 9 3 4 4 4" xfId="11246" xr:uid="{C4478D08-98A7-4748-841A-8FAF2635AC00}"/>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D5DA4628-4325-4685-8402-D180DF03E7AE}"/>
    <cellStyle name="Normal 9 3 4 5 2 3" xfId="13804" xr:uid="{ECDEF7CE-10ED-4A6F-9D48-97742504ACA7}"/>
    <cellStyle name="Normal 9 3 4 5 3" xfId="6550" xr:uid="{00000000-0005-0000-0000-000032200000}"/>
    <cellStyle name="Normal 9 3 4 5 3 2" xfId="15876" xr:uid="{56CFB9B0-9DB1-42A1-9135-E191FA74C179}"/>
    <cellStyle name="Normal 9 3 4 5 4" xfId="11659" xr:uid="{25AEADCF-BABD-457E-9554-389976E1A2E7}"/>
    <cellStyle name="Normal 9 3 4 6" xfId="2680" xr:uid="{00000000-0005-0000-0000-000033200000}"/>
    <cellStyle name="Normal 9 3 4 6 2" xfId="6963" xr:uid="{00000000-0005-0000-0000-000034200000}"/>
    <cellStyle name="Normal 9 3 4 6 2 2" xfId="16289" xr:uid="{41A5862D-985E-4A82-8D25-1D9AF18B35BE}"/>
    <cellStyle name="Normal 9 3 4 6 3" xfId="12072" xr:uid="{281F29B2-4244-4680-A49E-BFC52FFA947A}"/>
    <cellStyle name="Normal 9 3 4 7" xfId="4898" xr:uid="{00000000-0005-0000-0000-000035200000}"/>
    <cellStyle name="Normal 9 3 4 7 2" xfId="14224" xr:uid="{DD7F0081-BAFF-4140-B29B-EA426CAF83A8}"/>
    <cellStyle name="Normal 9 3 4 8" xfId="8984" xr:uid="{A39B104A-EAEF-4D5B-B504-6104111E924B}"/>
    <cellStyle name="Normal 9 3 4 8 2" xfId="18308" xr:uid="{D6ECDF38-F1BC-41DE-A1E5-6F8D0C755E49}"/>
    <cellStyle name="Normal 9 3 4 9" xfId="10007" xr:uid="{D1BF06B6-0048-4614-94BB-7761EC799D99}"/>
    <cellStyle name="Normal 9 3 5" xfId="994" xr:uid="{00000000-0005-0000-0000-000036200000}"/>
    <cellStyle name="Normal 9 3 5 2" xfId="3227" xr:uid="{00000000-0005-0000-0000-000037200000}"/>
    <cellStyle name="Normal 9 3 5 2 2" xfId="7449" xr:uid="{00000000-0005-0000-0000-000038200000}"/>
    <cellStyle name="Normal 9 3 5 2 2 2" xfId="16775" xr:uid="{C5E87503-4EAF-4F06-95AF-E44D27EEB210}"/>
    <cellStyle name="Normal 9 3 5 2 3" xfId="12558" xr:uid="{02C028A8-5A49-4C19-A929-6A24329BC548}"/>
    <cellStyle name="Normal 9 3 5 3" xfId="5304" xr:uid="{00000000-0005-0000-0000-000039200000}"/>
    <cellStyle name="Normal 9 3 5 3 2" xfId="14630" xr:uid="{86944F16-5986-4C49-9459-0BAA64A5C6B7}"/>
    <cellStyle name="Normal 9 3 5 4" xfId="9201" xr:uid="{46D523D7-8DEB-46FB-8F1C-8CE8C2FC3AD3}"/>
    <cellStyle name="Normal 9 3 5 4 2" xfId="18517" xr:uid="{0107BFBB-B003-48B0-8062-31C2EEA92A21}"/>
    <cellStyle name="Normal 9 3 5 5" xfId="10413" xr:uid="{26A81830-FBA5-4C9B-81AC-A3FF3DD5124D}"/>
    <cellStyle name="Normal 9 3 6" xfId="1410" xr:uid="{00000000-0005-0000-0000-00003A200000}"/>
    <cellStyle name="Normal 9 3 6 2" xfId="3640" xr:uid="{00000000-0005-0000-0000-00003B200000}"/>
    <cellStyle name="Normal 9 3 6 2 2" xfId="7862" xr:uid="{00000000-0005-0000-0000-00003C200000}"/>
    <cellStyle name="Normal 9 3 6 2 2 2" xfId="17188" xr:uid="{8C32044D-EC11-47F9-8B71-BE1E8ADC572B}"/>
    <cellStyle name="Normal 9 3 6 2 3" xfId="12971" xr:uid="{817D0128-1D70-4286-A2CC-BA3C8A91898D}"/>
    <cellStyle name="Normal 9 3 6 3" xfId="5717" xr:uid="{00000000-0005-0000-0000-00003D200000}"/>
    <cellStyle name="Normal 9 3 6 3 2" xfId="15043" xr:uid="{E1A0AEC3-BC82-4252-8138-D24125FFEA96}"/>
    <cellStyle name="Normal 9 3 6 4" xfId="10826" xr:uid="{796170AC-5BFD-4C0F-978D-7B00303B02D9}"/>
    <cellStyle name="Normal 9 3 7" xfId="1823" xr:uid="{00000000-0005-0000-0000-00003E200000}"/>
    <cellStyle name="Normal 9 3 7 2" xfId="4053" xr:uid="{00000000-0005-0000-0000-00003F200000}"/>
    <cellStyle name="Normal 9 3 7 2 2" xfId="8275" xr:uid="{00000000-0005-0000-0000-000040200000}"/>
    <cellStyle name="Normal 9 3 7 2 2 2" xfId="17601" xr:uid="{0F59B897-269B-4799-BFC4-0A2BD413ADDA}"/>
    <cellStyle name="Normal 9 3 7 2 3" xfId="13384" xr:uid="{0E24D8BC-25BE-410A-900D-28D7C4E98918}"/>
    <cellStyle name="Normal 9 3 7 3" xfId="6130" xr:uid="{00000000-0005-0000-0000-000041200000}"/>
    <cellStyle name="Normal 9 3 7 3 2" xfId="15456" xr:uid="{F630F9D7-C72E-4D39-93D0-AB0B73A022C8}"/>
    <cellStyle name="Normal 9 3 7 4" xfId="11239" xr:uid="{0ED7878D-14E6-4EDB-81B1-E0FDD9339D52}"/>
    <cellStyle name="Normal 9 3 8" xfId="2237" xr:uid="{00000000-0005-0000-0000-000042200000}"/>
    <cellStyle name="Normal 9 3 8 2" xfId="4466" xr:uid="{00000000-0005-0000-0000-000043200000}"/>
    <cellStyle name="Normal 9 3 8 2 2" xfId="8688" xr:uid="{00000000-0005-0000-0000-000044200000}"/>
    <cellStyle name="Normal 9 3 8 2 2 2" xfId="18014" xr:uid="{93092840-C122-4A17-9561-B03316ACB03D}"/>
    <cellStyle name="Normal 9 3 8 2 3" xfId="13797" xr:uid="{FDA5C524-582B-42D4-B6ED-72C3B9B4C3C3}"/>
    <cellStyle name="Normal 9 3 8 3" xfId="6543" xr:uid="{00000000-0005-0000-0000-000045200000}"/>
    <cellStyle name="Normal 9 3 8 3 2" xfId="15869" xr:uid="{BDBEEADD-ABFA-45C5-B8DE-D186FABEBE82}"/>
    <cellStyle name="Normal 9 3 8 4" xfId="11652" xr:uid="{21090274-C4C6-47AD-8249-4E2E840C8112}"/>
    <cellStyle name="Normal 9 3 9" xfId="2673" xr:uid="{00000000-0005-0000-0000-000046200000}"/>
    <cellStyle name="Normal 9 3 9 2" xfId="6956" xr:uid="{00000000-0005-0000-0000-000047200000}"/>
    <cellStyle name="Normal 9 3 9 2 2" xfId="16282" xr:uid="{9D5CCF79-D438-4975-9EDF-80E31027B7D4}"/>
    <cellStyle name="Normal 9 3 9 3" xfId="12065" xr:uid="{0199A8EC-78F4-4964-BA25-2892A6AEAC06}"/>
    <cellStyle name="Normal 9 4" xfId="535" xr:uid="{00000000-0005-0000-0000-000048200000}"/>
    <cellStyle name="Normal 9 4 2" xfId="1002" xr:uid="{00000000-0005-0000-0000-000049200000}"/>
    <cellStyle name="Normal 9 5" xfId="536" xr:uid="{00000000-0005-0000-0000-00004A200000}"/>
    <cellStyle name="Normal 9 5 10" xfId="10008" xr:uid="{9FA08E3B-D86B-4D75-99F8-9B2B346FB23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00F8F7F4-AE52-48C6-B67F-1D1F4EC6DF25}"/>
    <cellStyle name="Normal 9 5 2 2 2 3" xfId="12567" xr:uid="{A9B31D79-6B6A-43F6-A41F-0248773EF1FC}"/>
    <cellStyle name="Normal 9 5 2 2 3" xfId="5313" xr:uid="{00000000-0005-0000-0000-00004F200000}"/>
    <cellStyle name="Normal 9 5 2 2 3 2" xfId="14639" xr:uid="{14041C27-6222-4BEF-9760-B346E4FBE083}"/>
    <cellStyle name="Normal 9 5 2 2 4" xfId="9480" xr:uid="{BC9702BE-C2B3-450A-99DF-6FFE7C7A82FD}"/>
    <cellStyle name="Normal 9 5 2 2 4 2" xfId="18795" xr:uid="{799C6A0E-1741-4CF6-8F74-C08874AB5A35}"/>
    <cellStyle name="Normal 9 5 2 2 5" xfId="10422" xr:uid="{0435DE1E-66D9-4002-B71D-1B3718BD08CD}"/>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2304C830-3DD3-4718-8515-D601E9B4C619}"/>
    <cellStyle name="Normal 9 5 2 3 2 3" xfId="12980" xr:uid="{02E9332F-B305-41BC-B800-4074E16B08BB}"/>
    <cellStyle name="Normal 9 5 2 3 3" xfId="5726" xr:uid="{00000000-0005-0000-0000-000053200000}"/>
    <cellStyle name="Normal 9 5 2 3 3 2" xfId="15052" xr:uid="{EBDA045A-5EDD-4BD8-8FEB-89070FB5AD60}"/>
    <cellStyle name="Normal 9 5 2 3 4" xfId="10835" xr:uid="{9F07B06C-AA96-4E27-92ED-E4E95550757E}"/>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61A3C5E2-DEFC-4184-9787-A6C02AD14D97}"/>
    <cellStyle name="Normal 9 5 2 4 2 3" xfId="13393" xr:uid="{CD14D15C-F622-40B4-B8AC-5774D5F3BE4F}"/>
    <cellStyle name="Normal 9 5 2 4 3" xfId="6139" xr:uid="{00000000-0005-0000-0000-000057200000}"/>
    <cellStyle name="Normal 9 5 2 4 3 2" xfId="15465" xr:uid="{58497756-E45E-424E-ABA5-BA739B923790}"/>
    <cellStyle name="Normal 9 5 2 4 4" xfId="11248" xr:uid="{A1F5A73A-AC6D-4467-B8EE-57E66B23578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171F6883-BBF8-4BC3-BD85-001786662397}"/>
    <cellStyle name="Normal 9 5 2 5 2 3" xfId="13806" xr:uid="{F8C29FA6-9540-46A2-B625-EF4E4E2DAF29}"/>
    <cellStyle name="Normal 9 5 2 5 3" xfId="6552" xr:uid="{00000000-0005-0000-0000-00005B200000}"/>
    <cellStyle name="Normal 9 5 2 5 3 2" xfId="15878" xr:uid="{9B5C8C86-1E6F-4B93-AC0B-439F3BF63FCE}"/>
    <cellStyle name="Normal 9 5 2 5 4" xfId="11661" xr:uid="{9DB43840-D9CB-4EDD-8649-F51458A61C52}"/>
    <cellStyle name="Normal 9 5 2 6" xfId="2682" xr:uid="{00000000-0005-0000-0000-00005C200000}"/>
    <cellStyle name="Normal 9 5 2 6 2" xfId="6965" xr:uid="{00000000-0005-0000-0000-00005D200000}"/>
    <cellStyle name="Normal 9 5 2 6 2 2" xfId="16291" xr:uid="{E731B859-AFA7-4C5E-85A4-C1706C8837BC}"/>
    <cellStyle name="Normal 9 5 2 6 3" xfId="12074" xr:uid="{0D70DAA8-2240-4F3C-BF15-FF6ACE83A6A0}"/>
    <cellStyle name="Normal 9 5 2 7" xfId="4900" xr:uid="{00000000-0005-0000-0000-00005E200000}"/>
    <cellStyle name="Normal 9 5 2 7 2" xfId="14226" xr:uid="{EB40A63C-AEB6-4820-832F-178933854B98}"/>
    <cellStyle name="Normal 9 5 2 8" xfId="9055" xr:uid="{3DD071E2-A4B3-45E3-9F20-3C2D5AEE5CB2}"/>
    <cellStyle name="Normal 9 5 2 8 2" xfId="18379" xr:uid="{787228B8-C4F2-49B6-91AC-50D79D043C45}"/>
    <cellStyle name="Normal 9 5 2 9" xfId="10009" xr:uid="{ED31C946-E4FE-4CBE-A6ED-AF9230141E50}"/>
    <cellStyle name="Normal 9 5 3" xfId="1003" xr:uid="{00000000-0005-0000-0000-00005F200000}"/>
    <cellStyle name="Normal 9 5 3 2" xfId="3235" xr:uid="{00000000-0005-0000-0000-000060200000}"/>
    <cellStyle name="Normal 9 5 3 2 2" xfId="7457" xr:uid="{00000000-0005-0000-0000-000061200000}"/>
    <cellStyle name="Normal 9 5 3 2 2 2" xfId="16783" xr:uid="{E00C1D58-B295-47A3-9322-ECB7CE3E9CE8}"/>
    <cellStyle name="Normal 9 5 3 2 3" xfId="12566" xr:uid="{40142607-FD6D-4C92-ADAB-9F4397B27A16}"/>
    <cellStyle name="Normal 9 5 3 3" xfId="5312" xr:uid="{00000000-0005-0000-0000-000062200000}"/>
    <cellStyle name="Normal 9 5 3 3 2" xfId="14638" xr:uid="{6677FADC-9E79-42A7-8129-47079261493D}"/>
    <cellStyle name="Normal 9 5 3 4" xfId="9273" xr:uid="{AE6CB61B-02C5-436E-A328-3B2AC8AC9E53}"/>
    <cellStyle name="Normal 9 5 3 4 2" xfId="18588" xr:uid="{180A12EB-8819-4812-93A8-F2F993715AA8}"/>
    <cellStyle name="Normal 9 5 3 5" xfId="10421" xr:uid="{BFA92515-6665-4D84-BAB0-E327774C8D7F}"/>
    <cellStyle name="Normal 9 5 4" xfId="1418" xr:uid="{00000000-0005-0000-0000-000063200000}"/>
    <cellStyle name="Normal 9 5 4 2" xfId="3648" xr:uid="{00000000-0005-0000-0000-000064200000}"/>
    <cellStyle name="Normal 9 5 4 2 2" xfId="7870" xr:uid="{00000000-0005-0000-0000-000065200000}"/>
    <cellStyle name="Normal 9 5 4 2 2 2" xfId="17196" xr:uid="{1C59711D-C07C-4914-8B9E-E10D71A8FEB8}"/>
    <cellStyle name="Normal 9 5 4 2 3" xfId="12979" xr:uid="{3372A625-222C-40A9-ACBE-772E1F0BACBC}"/>
    <cellStyle name="Normal 9 5 4 3" xfId="5725" xr:uid="{00000000-0005-0000-0000-000066200000}"/>
    <cellStyle name="Normal 9 5 4 3 2" xfId="15051" xr:uid="{FF75DF08-1693-47C6-A2B1-25ED4C9FE505}"/>
    <cellStyle name="Normal 9 5 4 4" xfId="10834" xr:uid="{6F81E7BB-188D-4088-B482-8666D84E93A7}"/>
    <cellStyle name="Normal 9 5 5" xfId="1831" xr:uid="{00000000-0005-0000-0000-000067200000}"/>
    <cellStyle name="Normal 9 5 5 2" xfId="4061" xr:uid="{00000000-0005-0000-0000-000068200000}"/>
    <cellStyle name="Normal 9 5 5 2 2" xfId="8283" xr:uid="{00000000-0005-0000-0000-000069200000}"/>
    <cellStyle name="Normal 9 5 5 2 2 2" xfId="17609" xr:uid="{CFB65E89-8A4D-465E-ACBD-E2E892063FE8}"/>
    <cellStyle name="Normal 9 5 5 2 3" xfId="13392" xr:uid="{0DBBD6C3-C34D-4196-884F-8BEF2A30EC1D}"/>
    <cellStyle name="Normal 9 5 5 3" xfId="6138" xr:uid="{00000000-0005-0000-0000-00006A200000}"/>
    <cellStyle name="Normal 9 5 5 3 2" xfId="15464" xr:uid="{520024C9-F70A-48F9-9FE4-97F4AC8AB928}"/>
    <cellStyle name="Normal 9 5 5 4" xfId="11247" xr:uid="{593CD132-B570-46E2-8800-34E5655BA92D}"/>
    <cellStyle name="Normal 9 5 6" xfId="2245" xr:uid="{00000000-0005-0000-0000-00006B200000}"/>
    <cellStyle name="Normal 9 5 6 2" xfId="4474" xr:uid="{00000000-0005-0000-0000-00006C200000}"/>
    <cellStyle name="Normal 9 5 6 2 2" xfId="8696" xr:uid="{00000000-0005-0000-0000-00006D200000}"/>
    <cellStyle name="Normal 9 5 6 2 2 2" xfId="18022" xr:uid="{371CF692-B02F-405D-824D-E0715A987B5F}"/>
    <cellStyle name="Normal 9 5 6 2 3" xfId="13805" xr:uid="{77B1604B-A35A-4456-A868-27069AB9FE40}"/>
    <cellStyle name="Normal 9 5 6 3" xfId="6551" xr:uid="{00000000-0005-0000-0000-00006E200000}"/>
    <cellStyle name="Normal 9 5 6 3 2" xfId="15877" xr:uid="{297687CA-ED0F-4EB2-9C66-8BE7ED6A34F1}"/>
    <cellStyle name="Normal 9 5 6 4" xfId="11660" xr:uid="{6CE13550-E361-42CA-B9F0-C40F2849E2E2}"/>
    <cellStyle name="Normal 9 5 7" xfId="2681" xr:uid="{00000000-0005-0000-0000-00006F200000}"/>
    <cellStyle name="Normal 9 5 7 2" xfId="6964" xr:uid="{00000000-0005-0000-0000-000070200000}"/>
    <cellStyle name="Normal 9 5 7 2 2" xfId="16290" xr:uid="{2CFC1F9F-4FB0-4778-8D32-82C4C28811B1}"/>
    <cellStyle name="Normal 9 5 7 3" xfId="12073" xr:uid="{53E16D16-FCA8-49FD-BC88-EAF0BC91A926}"/>
    <cellStyle name="Normal 9 5 8" xfId="4899" xr:uid="{00000000-0005-0000-0000-000071200000}"/>
    <cellStyle name="Normal 9 5 8 2" xfId="14225" xr:uid="{D256649B-F7A2-4B53-99A7-BF218098E604}"/>
    <cellStyle name="Normal 9 5 9" xfId="8848" xr:uid="{B1BE5F70-14E5-42B6-9EBA-D267F3B60A08}"/>
    <cellStyle name="Normal 9 5 9 2" xfId="18172" xr:uid="{417AB4B9-305D-44EC-92EF-F2293720F234}"/>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75628844-D987-479E-AE41-D656FE7F0501}"/>
    <cellStyle name="Normal 9 6 2 2 3" xfId="12568" xr:uid="{9B5A74A5-2B05-4E41-9BC4-8939D2BAE10A}"/>
    <cellStyle name="Normal 9 6 2 3" xfId="5314" xr:uid="{00000000-0005-0000-0000-000076200000}"/>
    <cellStyle name="Normal 9 6 2 3 2" xfId="14640" xr:uid="{324AE0CF-F3A0-40C3-A59A-FA232EAC3BC3}"/>
    <cellStyle name="Normal 9 6 2 4" xfId="9389" xr:uid="{2A0458F6-466A-4C3B-BA39-FF09FD770FDD}"/>
    <cellStyle name="Normal 9 6 2 4 2" xfId="18704" xr:uid="{6E851FE4-B909-4E09-8E0F-E3B37A8D76D1}"/>
    <cellStyle name="Normal 9 6 2 5" xfId="10423" xr:uid="{BB8E2D57-B9EE-4440-8981-B395F7C0C2ED}"/>
    <cellStyle name="Normal 9 6 3" xfId="1420" xr:uid="{00000000-0005-0000-0000-000077200000}"/>
    <cellStyle name="Normal 9 6 3 2" xfId="3650" xr:uid="{00000000-0005-0000-0000-000078200000}"/>
    <cellStyle name="Normal 9 6 3 2 2" xfId="7872" xr:uid="{00000000-0005-0000-0000-000079200000}"/>
    <cellStyle name="Normal 9 6 3 2 2 2" xfId="17198" xr:uid="{30C79E70-BE20-47D7-8677-5E9F3B092598}"/>
    <cellStyle name="Normal 9 6 3 2 3" xfId="12981" xr:uid="{58D4C2A5-BE75-4B6E-9AD2-BCB1799BD514}"/>
    <cellStyle name="Normal 9 6 3 3" xfId="5727" xr:uid="{00000000-0005-0000-0000-00007A200000}"/>
    <cellStyle name="Normal 9 6 3 3 2" xfId="15053" xr:uid="{203E28C0-0615-4DE2-9397-FCBDCD8F7743}"/>
    <cellStyle name="Normal 9 6 3 4" xfId="10836" xr:uid="{CF855C18-703B-4BA7-A742-C947B65EBF6F}"/>
    <cellStyle name="Normal 9 6 4" xfId="1833" xr:uid="{00000000-0005-0000-0000-00007B200000}"/>
    <cellStyle name="Normal 9 6 4 2" xfId="4063" xr:uid="{00000000-0005-0000-0000-00007C200000}"/>
    <cellStyle name="Normal 9 6 4 2 2" xfId="8285" xr:uid="{00000000-0005-0000-0000-00007D200000}"/>
    <cellStyle name="Normal 9 6 4 2 2 2" xfId="17611" xr:uid="{0187516E-6C46-45DE-B2B5-248F08926408}"/>
    <cellStyle name="Normal 9 6 4 2 3" xfId="13394" xr:uid="{C4B3D352-F732-4CAD-8317-4FB1DCEC9AE2}"/>
    <cellStyle name="Normal 9 6 4 3" xfId="6140" xr:uid="{00000000-0005-0000-0000-00007E200000}"/>
    <cellStyle name="Normal 9 6 4 3 2" xfId="15466" xr:uid="{CABD22EC-78DC-4774-A181-EB62FF077E0E}"/>
    <cellStyle name="Normal 9 6 4 4" xfId="11249" xr:uid="{1324FFA8-6077-4DF3-AF85-F8D0C2170CB1}"/>
    <cellStyle name="Normal 9 6 5" xfId="2247" xr:uid="{00000000-0005-0000-0000-00007F200000}"/>
    <cellStyle name="Normal 9 6 5 2" xfId="4476" xr:uid="{00000000-0005-0000-0000-000080200000}"/>
    <cellStyle name="Normal 9 6 5 2 2" xfId="8698" xr:uid="{00000000-0005-0000-0000-000081200000}"/>
    <cellStyle name="Normal 9 6 5 2 2 2" xfId="18024" xr:uid="{B8B2DCF3-16D8-4901-932A-7B343225FFB9}"/>
    <cellStyle name="Normal 9 6 5 2 3" xfId="13807" xr:uid="{F41BEA3F-B317-4623-8B55-2CD23A9AE12C}"/>
    <cellStyle name="Normal 9 6 5 3" xfId="6553" xr:uid="{00000000-0005-0000-0000-000082200000}"/>
    <cellStyle name="Normal 9 6 5 3 2" xfId="15879" xr:uid="{56B7EAB0-BCBC-4168-B831-42BDF2C27DED}"/>
    <cellStyle name="Normal 9 6 5 4" xfId="11662" xr:uid="{75416075-9E1E-4131-9F20-178D7346A270}"/>
    <cellStyle name="Normal 9 6 6" xfId="2683" xr:uid="{00000000-0005-0000-0000-000083200000}"/>
    <cellStyle name="Normal 9 6 6 2" xfId="6966" xr:uid="{00000000-0005-0000-0000-000084200000}"/>
    <cellStyle name="Normal 9 6 6 2 2" xfId="16292" xr:uid="{0555516A-156E-463B-B26A-704B7C27F47F}"/>
    <cellStyle name="Normal 9 6 6 3" xfId="12075" xr:uid="{B275C0FE-78B4-4BD4-82C3-972A374C23A6}"/>
    <cellStyle name="Normal 9 6 7" xfId="4901" xr:uid="{00000000-0005-0000-0000-000085200000}"/>
    <cellStyle name="Normal 9 6 7 2" xfId="14227" xr:uid="{C75D2FE1-DC3D-4B43-9EED-BBE52D9835F1}"/>
    <cellStyle name="Normal 9 6 8" xfId="8964" xr:uid="{9BBC9C46-7A3A-4BC9-9542-DC33DFA165C2}"/>
    <cellStyle name="Normal 9 6 8 2" xfId="18288" xr:uid="{E2974426-960A-4E42-9FC2-A5ACE5FA80D9}"/>
    <cellStyle name="Normal 9 6 9" xfId="10010" xr:uid="{23864CF1-25EA-4E20-9B3F-09D2D7BD7122}"/>
    <cellStyle name="Normal 9 7" xfId="977" xr:uid="{00000000-0005-0000-0000-000086200000}"/>
    <cellStyle name="Normal 9 7 2" xfId="9609" xr:uid="{1246D22D-2382-4FAF-A8D6-CB26E2B9F9CE}"/>
    <cellStyle name="Normal 9 7 3" xfId="9167" xr:uid="{F9EED645-1D44-43CF-99A5-77176BA4CE36}"/>
    <cellStyle name="Normal 9 7 3 2" xfId="18485" xr:uid="{C4B8A5C1-06E7-40CE-B667-6924F93520B9}"/>
    <cellStyle name="Normal 9 8" xfId="8745" xr:uid="{C1852A12-4F74-491B-976C-56AD8D4478B4}"/>
    <cellStyle name="Normal 9 8 2" xfId="18069" xr:uid="{D5A147DA-58C3-40F3-A19D-031FAB6CB282}"/>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357F6435-2768-4042-A46C-044873109CD6}"/>
    <cellStyle name="Note 2 2 10 3" xfId="12156" xr:uid="{B602C000-BBB4-4671-B629-7A3E6C084FD0}"/>
    <cellStyle name="Note 2 2 11" xfId="4902" xr:uid="{00000000-0005-0000-0000-000094200000}"/>
    <cellStyle name="Note 2 2 11 2" xfId="14228" xr:uid="{49DCE8EC-E34A-4898-BCA6-0B01D4A49DF8}"/>
    <cellStyle name="Note 2 2 12" xfId="8841" xr:uid="{E94E1FD8-31C4-4718-9658-C7A587CBF323}"/>
    <cellStyle name="Note 2 2 12 2" xfId="18165" xr:uid="{EE35C48D-4D7D-4943-8CB2-3B3E8577C75C}"/>
    <cellStyle name="Note 2 2 13" xfId="10011" xr:uid="{563FB8B0-7C33-419F-94BC-664DEE593B14}"/>
    <cellStyle name="Note 2 2 2" xfId="546" xr:uid="{00000000-0005-0000-0000-000095200000}"/>
    <cellStyle name="Note 2 2 2 10" xfId="4903" xr:uid="{00000000-0005-0000-0000-000096200000}"/>
    <cellStyle name="Note 2 2 2 10 2" xfId="14229" xr:uid="{2DFEA6D7-BC1F-466A-B77E-167E4A17310F}"/>
    <cellStyle name="Note 2 2 2 11" xfId="8944" xr:uid="{B75A3404-A4A3-41D6-B6C3-54560C6DD592}"/>
    <cellStyle name="Note 2 2 2 11 2" xfId="18268" xr:uid="{B04C0EB6-78DF-49F7-9FEA-EACF94919EF6}"/>
    <cellStyle name="Note 2 2 2 12" xfId="10012" xr:uid="{869B86B3-8C2A-4412-8747-415F5C48AFDD}"/>
    <cellStyle name="Note 2 2 2 2" xfId="547" xr:uid="{00000000-0005-0000-0000-000097200000}"/>
    <cellStyle name="Note 2 2 2 2 10" xfId="9151" xr:uid="{DE810DD8-00EC-4339-9CFC-C84D5E182971}"/>
    <cellStyle name="Note 2 2 2 2 10 2" xfId="18475" xr:uid="{DE49E438-07BD-48A3-925E-E850C4B53178}"/>
    <cellStyle name="Note 2 2 2 2 11" xfId="10013" xr:uid="{1449C3E1-14AC-4354-8CF2-6B7904A1353A}"/>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8085BC84-42A9-46CA-8D6D-E47C40C3D968}"/>
    <cellStyle name="Note 2 2 2 2 2 2 3" xfId="12571" xr:uid="{2A84706E-E5D8-4F76-857F-38434A993B4F}"/>
    <cellStyle name="Note 2 2 2 2 2 3" xfId="5317" xr:uid="{00000000-0005-0000-0000-00009B200000}"/>
    <cellStyle name="Note 2 2 2 2 2 3 2" xfId="14643" xr:uid="{FE851E67-C3EC-4D27-A4CA-B9DE00A90615}"/>
    <cellStyle name="Note 2 2 2 2 2 4" xfId="9576" xr:uid="{375E296C-598F-454E-B7C4-9E851CE02ED2}"/>
    <cellStyle name="Note 2 2 2 2 2 4 2" xfId="18891" xr:uid="{44919EEB-9F15-4B88-8AD5-5927B52A3F78}"/>
    <cellStyle name="Note 2 2 2 2 2 5" xfId="10426" xr:uid="{F65D37D2-7389-435E-AF64-407E5A3E19F0}"/>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93E1B6AD-B5CB-4917-9578-59CA84DE4372}"/>
    <cellStyle name="Note 2 2 2 2 3 2 3" xfId="12984" xr:uid="{4BA65AA4-02B4-475D-8FF2-F01927625F15}"/>
    <cellStyle name="Note 2 2 2 2 3 3" xfId="5730" xr:uid="{00000000-0005-0000-0000-00009F200000}"/>
    <cellStyle name="Note 2 2 2 2 3 3 2" xfId="15056" xr:uid="{98DF0017-DB3B-4318-A3C7-69B7CB2DFE3D}"/>
    <cellStyle name="Note 2 2 2 2 3 4" xfId="10839" xr:uid="{C96C2690-F0AD-4F76-B803-E3B7868E4843}"/>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19E358A1-C834-4457-A06A-A5BEF553A953}"/>
    <cellStyle name="Note 2 2 2 2 4 2 3" xfId="13397" xr:uid="{3E3DFB5F-D104-4C97-9651-B8C3D8EA63B2}"/>
    <cellStyle name="Note 2 2 2 2 4 3" xfId="6143" xr:uid="{00000000-0005-0000-0000-0000A3200000}"/>
    <cellStyle name="Note 2 2 2 2 4 3 2" xfId="15469" xr:uid="{F21DF6F0-6DA5-427C-BAC9-B3D9C6566AF9}"/>
    <cellStyle name="Note 2 2 2 2 4 4" xfId="11252" xr:uid="{8DCBE4B5-AF0C-4961-A9E7-8C9BE499A986}"/>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254B3A99-BC8E-425D-9D5B-B791676D2559}"/>
    <cellStyle name="Note 2 2 2 2 5 2 3" xfId="13810" xr:uid="{FDA2A726-9675-4840-8DB0-8C134B68D42E}"/>
    <cellStyle name="Note 2 2 2 2 5 3" xfId="6556" xr:uid="{00000000-0005-0000-0000-0000A7200000}"/>
    <cellStyle name="Note 2 2 2 2 5 3 2" xfId="15882" xr:uid="{1BE476CC-E7DF-459B-AB49-1DAC90140FDE}"/>
    <cellStyle name="Note 2 2 2 2 5 4" xfId="11665" xr:uid="{73DBDF4E-E280-4C94-BAB8-023A150DFA55}"/>
    <cellStyle name="Note 2 2 2 2 6" xfId="2686" xr:uid="{00000000-0005-0000-0000-0000A8200000}"/>
    <cellStyle name="Note 2 2 2 2 6 2" xfId="6969" xr:uid="{00000000-0005-0000-0000-0000A9200000}"/>
    <cellStyle name="Note 2 2 2 2 6 2 2" xfId="16295" xr:uid="{F138D40C-3B43-4B58-AA68-956BCEED8416}"/>
    <cellStyle name="Note 2 2 2 2 6 3" xfId="12078" xr:uid="{31E13FC8-ACBB-4301-92FB-5C1BD606E1A9}"/>
    <cellStyle name="Note 2 2 2 2 7" xfId="2745" xr:uid="{00000000-0005-0000-0000-0000AA200000}"/>
    <cellStyle name="Note 2 2 2 2 8" xfId="2826" xr:uid="{00000000-0005-0000-0000-0000AB200000}"/>
    <cellStyle name="Note 2 2 2 2 8 2" xfId="7049" xr:uid="{00000000-0005-0000-0000-0000AC200000}"/>
    <cellStyle name="Note 2 2 2 2 8 2 2" xfId="16375" xr:uid="{AEDB298B-0781-4433-9940-FC7AD7827AEA}"/>
    <cellStyle name="Note 2 2 2 2 8 3" xfId="12158" xr:uid="{B1CCB724-350C-4635-A0A1-03C81E35B4C6}"/>
    <cellStyle name="Note 2 2 2 2 9" xfId="4904" xr:uid="{00000000-0005-0000-0000-0000AD200000}"/>
    <cellStyle name="Note 2 2 2 2 9 2" xfId="14230" xr:uid="{7DE19FDB-B189-49DA-9B4C-4EE7490AC6A9}"/>
    <cellStyle name="Note 2 2 2 3" xfId="1007" xr:uid="{00000000-0005-0000-0000-0000AE200000}"/>
    <cellStyle name="Note 2 2 2 3 2" xfId="3239" xr:uid="{00000000-0005-0000-0000-0000AF200000}"/>
    <cellStyle name="Note 2 2 2 3 2 2" xfId="7461" xr:uid="{00000000-0005-0000-0000-0000B0200000}"/>
    <cellStyle name="Note 2 2 2 3 2 2 2" xfId="16787" xr:uid="{C95442DF-E5D4-4327-B4C3-87A9F42E9770}"/>
    <cellStyle name="Note 2 2 2 3 2 3" xfId="12570" xr:uid="{0D5A2CD1-7549-4919-82B0-E93A2C4E2133}"/>
    <cellStyle name="Note 2 2 2 3 3" xfId="5316" xr:uid="{00000000-0005-0000-0000-0000B1200000}"/>
    <cellStyle name="Note 2 2 2 3 3 2" xfId="14642" xr:uid="{C31CC927-A14E-466D-AD78-51745DE27CCD}"/>
    <cellStyle name="Note 2 2 2 3 4" xfId="9369" xr:uid="{37FCA23B-964B-404F-A343-B489211FDCDC}"/>
    <cellStyle name="Note 2 2 2 3 4 2" xfId="18684" xr:uid="{D9CF76A1-D3E1-43A2-B614-8DD970F26682}"/>
    <cellStyle name="Note 2 2 2 3 5" xfId="10425" xr:uid="{2CB91EDD-1B63-4385-B038-2B3B4FDE0BC9}"/>
    <cellStyle name="Note 2 2 2 4" xfId="1422" xr:uid="{00000000-0005-0000-0000-0000B2200000}"/>
    <cellStyle name="Note 2 2 2 4 2" xfId="3652" xr:uid="{00000000-0005-0000-0000-0000B3200000}"/>
    <cellStyle name="Note 2 2 2 4 2 2" xfId="7874" xr:uid="{00000000-0005-0000-0000-0000B4200000}"/>
    <cellStyle name="Note 2 2 2 4 2 2 2" xfId="17200" xr:uid="{77910E71-744C-4E8F-A3FB-3E7D046FA945}"/>
    <cellStyle name="Note 2 2 2 4 2 3" xfId="12983" xr:uid="{DB3F6583-3D98-4B08-A044-0C57F155D9E7}"/>
    <cellStyle name="Note 2 2 2 4 3" xfId="5729" xr:uid="{00000000-0005-0000-0000-0000B5200000}"/>
    <cellStyle name="Note 2 2 2 4 3 2" xfId="15055" xr:uid="{90DD48EA-3E4E-424F-8157-5F5075C6DE18}"/>
    <cellStyle name="Note 2 2 2 4 4" xfId="10838" xr:uid="{F204F76C-BFFC-4CC9-87DD-799AE1FF1472}"/>
    <cellStyle name="Note 2 2 2 5" xfId="1836" xr:uid="{00000000-0005-0000-0000-0000B6200000}"/>
    <cellStyle name="Note 2 2 2 5 2" xfId="4065" xr:uid="{00000000-0005-0000-0000-0000B7200000}"/>
    <cellStyle name="Note 2 2 2 5 2 2" xfId="8287" xr:uid="{00000000-0005-0000-0000-0000B8200000}"/>
    <cellStyle name="Note 2 2 2 5 2 2 2" xfId="17613" xr:uid="{14779B00-5FEC-4DC2-B1AD-1036E0F22B58}"/>
    <cellStyle name="Note 2 2 2 5 2 3" xfId="13396" xr:uid="{52DC12F5-1728-46ED-82A7-462C098828AD}"/>
    <cellStyle name="Note 2 2 2 5 3" xfId="6142" xr:uid="{00000000-0005-0000-0000-0000B9200000}"/>
    <cellStyle name="Note 2 2 2 5 3 2" xfId="15468" xr:uid="{787090C4-47B9-43F6-9D27-0EC0AF466977}"/>
    <cellStyle name="Note 2 2 2 5 4" xfId="11251" xr:uid="{E83B370B-9F43-4B0B-874F-5209B2D9BF11}"/>
    <cellStyle name="Note 2 2 2 6" xfId="2249" xr:uid="{00000000-0005-0000-0000-0000BA200000}"/>
    <cellStyle name="Note 2 2 2 6 2" xfId="4478" xr:uid="{00000000-0005-0000-0000-0000BB200000}"/>
    <cellStyle name="Note 2 2 2 6 2 2" xfId="8700" xr:uid="{00000000-0005-0000-0000-0000BC200000}"/>
    <cellStyle name="Note 2 2 2 6 2 2 2" xfId="18026" xr:uid="{2A3718A2-3893-4ECB-8674-D52AA332F878}"/>
    <cellStyle name="Note 2 2 2 6 2 3" xfId="13809" xr:uid="{2322A06A-A832-4DA6-9391-712391B1BA69}"/>
    <cellStyle name="Note 2 2 2 6 3" xfId="6555" xr:uid="{00000000-0005-0000-0000-0000BD200000}"/>
    <cellStyle name="Note 2 2 2 6 3 2" xfId="15881" xr:uid="{13A99F66-E688-40FF-97ED-BA1B8A8518F1}"/>
    <cellStyle name="Note 2 2 2 6 4" xfId="11664" xr:uid="{D2B8F4C8-DAFA-436C-89BD-989B8EE9B3C9}"/>
    <cellStyle name="Note 2 2 2 7" xfId="2685" xr:uid="{00000000-0005-0000-0000-0000BE200000}"/>
    <cellStyle name="Note 2 2 2 7 2" xfId="6968" xr:uid="{00000000-0005-0000-0000-0000BF200000}"/>
    <cellStyle name="Note 2 2 2 7 2 2" xfId="16294" xr:uid="{27EAAD11-12DB-4D1A-82DF-26BF898AF836}"/>
    <cellStyle name="Note 2 2 2 7 3" xfId="12077" xr:uid="{23ED5561-A639-4068-B644-80FB0A391282}"/>
    <cellStyle name="Note 2 2 2 8" xfId="2744" xr:uid="{00000000-0005-0000-0000-0000C0200000}"/>
    <cellStyle name="Note 2 2 2 9" xfId="2825" xr:uid="{00000000-0005-0000-0000-0000C1200000}"/>
    <cellStyle name="Note 2 2 2 9 2" xfId="7048" xr:uid="{00000000-0005-0000-0000-0000C2200000}"/>
    <cellStyle name="Note 2 2 2 9 2 2" xfId="16374" xr:uid="{F7D61C66-376B-457A-B5FC-D6D74209DA6A}"/>
    <cellStyle name="Note 2 2 2 9 3" xfId="12157" xr:uid="{46709F65-BC5E-4E90-A9CC-B3F27D7C8C69}"/>
    <cellStyle name="Note 2 2 3" xfId="548" xr:uid="{00000000-0005-0000-0000-0000C3200000}"/>
    <cellStyle name="Note 2 2 3 10" xfId="9048" xr:uid="{894401FF-B7D8-49E8-91E6-A1C42DD04D54}"/>
    <cellStyle name="Note 2 2 3 10 2" xfId="18372" xr:uid="{74CD8BDE-44A4-43A4-B851-9C0DDC819BBF}"/>
    <cellStyle name="Note 2 2 3 11" xfId="10014" xr:uid="{F78EDC72-5D0C-45A9-81FA-88BBFD6FF59B}"/>
    <cellStyle name="Note 2 2 3 2" xfId="1009" xr:uid="{00000000-0005-0000-0000-0000C4200000}"/>
    <cellStyle name="Note 2 2 3 2 2" xfId="3241" xr:uid="{00000000-0005-0000-0000-0000C5200000}"/>
    <cellStyle name="Note 2 2 3 2 2 2" xfId="7463" xr:uid="{00000000-0005-0000-0000-0000C6200000}"/>
    <cellStyle name="Note 2 2 3 2 2 2 2" xfId="16789" xr:uid="{F4C5F358-C734-4F84-B386-EDA92B2C709D}"/>
    <cellStyle name="Note 2 2 3 2 2 3" xfId="12572" xr:uid="{78840FA0-CE6F-42DE-AD88-63F01167592E}"/>
    <cellStyle name="Note 2 2 3 2 3" xfId="5318" xr:uid="{00000000-0005-0000-0000-0000C7200000}"/>
    <cellStyle name="Note 2 2 3 2 3 2" xfId="14644" xr:uid="{4D3442E1-B307-4D6A-89C2-53456ECE6FAA}"/>
    <cellStyle name="Note 2 2 3 2 4" xfId="9473" xr:uid="{7711F4E0-385B-44CD-ACEA-5E9D7E4CD8DC}"/>
    <cellStyle name="Note 2 2 3 2 4 2" xfId="18788" xr:uid="{175BC996-E472-4BA4-81C5-F0F7964B4414}"/>
    <cellStyle name="Note 2 2 3 2 5" xfId="10427" xr:uid="{A8444072-CC66-4F86-A9B1-79FCB2089200}"/>
    <cellStyle name="Note 2 2 3 3" xfId="1424" xr:uid="{00000000-0005-0000-0000-0000C8200000}"/>
    <cellStyle name="Note 2 2 3 3 2" xfId="3654" xr:uid="{00000000-0005-0000-0000-0000C9200000}"/>
    <cellStyle name="Note 2 2 3 3 2 2" xfId="7876" xr:uid="{00000000-0005-0000-0000-0000CA200000}"/>
    <cellStyle name="Note 2 2 3 3 2 2 2" xfId="17202" xr:uid="{20DAF18C-0D05-4C70-B29A-375FC2C619B4}"/>
    <cellStyle name="Note 2 2 3 3 2 3" xfId="12985" xr:uid="{42FC2BD7-446D-4B3A-AEDA-5A95CEF13944}"/>
    <cellStyle name="Note 2 2 3 3 3" xfId="5731" xr:uid="{00000000-0005-0000-0000-0000CB200000}"/>
    <cellStyle name="Note 2 2 3 3 3 2" xfId="15057" xr:uid="{7C02DC58-D07A-49CF-A7D6-E6B715554DE2}"/>
    <cellStyle name="Note 2 2 3 3 4" xfId="10840" xr:uid="{2F58105B-E15E-468C-B3C5-324BE5B28087}"/>
    <cellStyle name="Note 2 2 3 4" xfId="1838" xr:uid="{00000000-0005-0000-0000-0000CC200000}"/>
    <cellStyle name="Note 2 2 3 4 2" xfId="4067" xr:uid="{00000000-0005-0000-0000-0000CD200000}"/>
    <cellStyle name="Note 2 2 3 4 2 2" xfId="8289" xr:uid="{00000000-0005-0000-0000-0000CE200000}"/>
    <cellStyle name="Note 2 2 3 4 2 2 2" xfId="17615" xr:uid="{52153D35-DA8D-492D-B7FA-C465AD505CB8}"/>
    <cellStyle name="Note 2 2 3 4 2 3" xfId="13398" xr:uid="{ED240159-8B56-4998-994A-83AE718E1F86}"/>
    <cellStyle name="Note 2 2 3 4 3" xfId="6144" xr:uid="{00000000-0005-0000-0000-0000CF200000}"/>
    <cellStyle name="Note 2 2 3 4 3 2" xfId="15470" xr:uid="{9FF19F55-09D2-4949-BA51-6A81BAAC1494}"/>
    <cellStyle name="Note 2 2 3 4 4" xfId="11253" xr:uid="{CA19BDAD-403E-4E59-9907-DA412E444C88}"/>
    <cellStyle name="Note 2 2 3 5" xfId="2251" xr:uid="{00000000-0005-0000-0000-0000D0200000}"/>
    <cellStyle name="Note 2 2 3 5 2" xfId="4480" xr:uid="{00000000-0005-0000-0000-0000D1200000}"/>
    <cellStyle name="Note 2 2 3 5 2 2" xfId="8702" xr:uid="{00000000-0005-0000-0000-0000D2200000}"/>
    <cellStyle name="Note 2 2 3 5 2 2 2" xfId="18028" xr:uid="{2FBDDD9F-4C6A-48AF-95AA-70BC75E3AB69}"/>
    <cellStyle name="Note 2 2 3 5 2 3" xfId="13811" xr:uid="{A7C3C274-EA7D-4FC3-95A3-9412927D670E}"/>
    <cellStyle name="Note 2 2 3 5 3" xfId="6557" xr:uid="{00000000-0005-0000-0000-0000D3200000}"/>
    <cellStyle name="Note 2 2 3 5 3 2" xfId="15883" xr:uid="{D5245C6C-A8F8-45CC-A9D6-87FBEB0BD4DB}"/>
    <cellStyle name="Note 2 2 3 5 4" xfId="11666" xr:uid="{9ADEBEE2-422F-4CD4-ABE3-B0D9E1B398AE}"/>
    <cellStyle name="Note 2 2 3 6" xfId="2687" xr:uid="{00000000-0005-0000-0000-0000D4200000}"/>
    <cellStyle name="Note 2 2 3 6 2" xfId="6970" xr:uid="{00000000-0005-0000-0000-0000D5200000}"/>
    <cellStyle name="Note 2 2 3 6 2 2" xfId="16296" xr:uid="{C5F73415-D2FD-4B17-BA1B-802FC83FA207}"/>
    <cellStyle name="Note 2 2 3 6 3" xfId="12079" xr:uid="{2D81BE19-46AA-4EBC-8650-F865E3071692}"/>
    <cellStyle name="Note 2 2 3 7" xfId="2746" xr:uid="{00000000-0005-0000-0000-0000D6200000}"/>
    <cellStyle name="Note 2 2 3 8" xfId="2827" xr:uid="{00000000-0005-0000-0000-0000D7200000}"/>
    <cellStyle name="Note 2 2 3 8 2" xfId="7050" xr:uid="{00000000-0005-0000-0000-0000D8200000}"/>
    <cellStyle name="Note 2 2 3 8 2 2" xfId="16376" xr:uid="{A423DCEE-F8BA-429B-955F-13DC162BAA98}"/>
    <cellStyle name="Note 2 2 3 8 3" xfId="12159" xr:uid="{6F0F592A-2CEF-4B93-9821-192B52961EE6}"/>
    <cellStyle name="Note 2 2 3 9" xfId="4905" xr:uid="{00000000-0005-0000-0000-0000D9200000}"/>
    <cellStyle name="Note 2 2 3 9 2" xfId="14231" xr:uid="{9B14A56F-7106-4392-8104-46B95AE10E48}"/>
    <cellStyle name="Note 2 2 4" xfId="1006" xr:uid="{00000000-0005-0000-0000-0000DA200000}"/>
    <cellStyle name="Note 2 2 4 2" xfId="3238" xr:uid="{00000000-0005-0000-0000-0000DB200000}"/>
    <cellStyle name="Note 2 2 4 2 2" xfId="7460" xr:uid="{00000000-0005-0000-0000-0000DC200000}"/>
    <cellStyle name="Note 2 2 4 2 2 2" xfId="16786" xr:uid="{A6813F11-1D72-4449-87C0-AC5B6607E6B3}"/>
    <cellStyle name="Note 2 2 4 2 3" xfId="12569" xr:uid="{136EBC05-697B-43F8-BCF3-ED45AB4CAE40}"/>
    <cellStyle name="Note 2 2 4 3" xfId="5315" xr:uid="{00000000-0005-0000-0000-0000DD200000}"/>
    <cellStyle name="Note 2 2 4 3 2" xfId="14641" xr:uid="{8DE01CFE-E44E-4FC3-897D-DA887A5D137A}"/>
    <cellStyle name="Note 2 2 4 4" xfId="9266" xr:uid="{8B6F7B8D-50FA-47DA-836F-17B0F9492E54}"/>
    <cellStyle name="Note 2 2 4 4 2" xfId="18581" xr:uid="{F70641D8-F568-4FC9-9E1C-56DD579FBC20}"/>
    <cellStyle name="Note 2 2 4 5" xfId="10424" xr:uid="{417552C2-8A64-4BF3-9592-E8DB7F153A91}"/>
    <cellStyle name="Note 2 2 5" xfId="1421" xr:uid="{00000000-0005-0000-0000-0000DE200000}"/>
    <cellStyle name="Note 2 2 5 2" xfId="3651" xr:uid="{00000000-0005-0000-0000-0000DF200000}"/>
    <cellStyle name="Note 2 2 5 2 2" xfId="7873" xr:uid="{00000000-0005-0000-0000-0000E0200000}"/>
    <cellStyle name="Note 2 2 5 2 2 2" xfId="17199" xr:uid="{0A618DCF-0411-49A1-AE31-A93F2898C6CC}"/>
    <cellStyle name="Note 2 2 5 2 3" xfId="12982" xr:uid="{66DB0149-7AEC-4995-8BBA-1E5A018E33BF}"/>
    <cellStyle name="Note 2 2 5 3" xfId="5728" xr:uid="{00000000-0005-0000-0000-0000E1200000}"/>
    <cellStyle name="Note 2 2 5 3 2" xfId="15054" xr:uid="{4D93358D-662A-44BE-B534-36CF09DAFBFC}"/>
    <cellStyle name="Note 2 2 5 4" xfId="10837" xr:uid="{C24EA330-20B3-43E0-9812-B5A27FB30C6D}"/>
    <cellStyle name="Note 2 2 6" xfId="1835" xr:uid="{00000000-0005-0000-0000-0000E2200000}"/>
    <cellStyle name="Note 2 2 6 2" xfId="4064" xr:uid="{00000000-0005-0000-0000-0000E3200000}"/>
    <cellStyle name="Note 2 2 6 2 2" xfId="8286" xr:uid="{00000000-0005-0000-0000-0000E4200000}"/>
    <cellStyle name="Note 2 2 6 2 2 2" xfId="17612" xr:uid="{AFC08CFE-1C0E-4492-8FBF-60400B7DA323}"/>
    <cellStyle name="Note 2 2 6 2 3" xfId="13395" xr:uid="{BBCA2C95-22DF-4311-94B3-DEC84D3BF24B}"/>
    <cellStyle name="Note 2 2 6 3" xfId="6141" xr:uid="{00000000-0005-0000-0000-0000E5200000}"/>
    <cellStyle name="Note 2 2 6 3 2" xfId="15467" xr:uid="{9ED6777A-B2C8-47B2-B884-B22770A3757E}"/>
    <cellStyle name="Note 2 2 6 4" xfId="11250" xr:uid="{D1671E73-A39B-430C-8E3D-521A0CEDE3C7}"/>
    <cellStyle name="Note 2 2 7" xfId="2248" xr:uid="{00000000-0005-0000-0000-0000E6200000}"/>
    <cellStyle name="Note 2 2 7 2" xfId="4477" xr:uid="{00000000-0005-0000-0000-0000E7200000}"/>
    <cellStyle name="Note 2 2 7 2 2" xfId="8699" xr:uid="{00000000-0005-0000-0000-0000E8200000}"/>
    <cellStyle name="Note 2 2 7 2 2 2" xfId="18025" xr:uid="{4E077700-5249-4E25-9AD4-3416616FAC5B}"/>
    <cellStyle name="Note 2 2 7 2 3" xfId="13808" xr:uid="{BC67D198-062A-4DD3-81F9-361E62D82E6A}"/>
    <cellStyle name="Note 2 2 7 3" xfId="6554" xr:uid="{00000000-0005-0000-0000-0000E9200000}"/>
    <cellStyle name="Note 2 2 7 3 2" xfId="15880" xr:uid="{74B755E7-FA66-444F-99B9-0D7C4CB04ED2}"/>
    <cellStyle name="Note 2 2 7 4" xfId="11663" xr:uid="{DF3F6CBE-0E8A-4C09-9C81-9735C5F8FB3D}"/>
    <cellStyle name="Note 2 2 8" xfId="2684" xr:uid="{00000000-0005-0000-0000-0000EA200000}"/>
    <cellStyle name="Note 2 2 8 2" xfId="6967" xr:uid="{00000000-0005-0000-0000-0000EB200000}"/>
    <cellStyle name="Note 2 2 8 2 2" xfId="16293" xr:uid="{91C19318-127F-4564-8F1A-F5BF35394547}"/>
    <cellStyle name="Note 2 2 8 3" xfId="12076" xr:uid="{6344F434-5977-48FC-BB0D-63FC465C5714}"/>
    <cellStyle name="Note 2 2 9" xfId="2743" xr:uid="{00000000-0005-0000-0000-0000EC200000}"/>
    <cellStyle name="Note 2 3" xfId="549" xr:uid="{00000000-0005-0000-0000-0000ED200000}"/>
    <cellStyle name="Note 2 3 10" xfId="4906" xr:uid="{00000000-0005-0000-0000-0000EE200000}"/>
    <cellStyle name="Note 2 3 10 2" xfId="14232" xr:uid="{D26CB6A6-362B-456F-8928-2EB43B57528F}"/>
    <cellStyle name="Note 2 3 11" xfId="8894" xr:uid="{2BFFE8D0-DA42-4876-8895-58F80713E965}"/>
    <cellStyle name="Note 2 3 11 2" xfId="18218" xr:uid="{7FAAE22D-AC5E-46C5-A5F7-6B241EEE2279}"/>
    <cellStyle name="Note 2 3 12" xfId="10015" xr:uid="{7E18A79E-56D1-4EB7-B59B-94916B99748C}"/>
    <cellStyle name="Note 2 3 2" xfId="550" xr:uid="{00000000-0005-0000-0000-0000EF200000}"/>
    <cellStyle name="Note 2 3 2 10" xfId="9101" xr:uid="{1822EEA2-225E-465E-B4CD-D4615440EC62}"/>
    <cellStyle name="Note 2 3 2 10 2" xfId="18425" xr:uid="{BC03CB13-2DA3-4BDF-934E-91CF70EA91CF}"/>
    <cellStyle name="Note 2 3 2 11" xfId="10016" xr:uid="{096769BA-21DF-4658-B06C-28C01FDA6492}"/>
    <cellStyle name="Note 2 3 2 2" xfId="1011" xr:uid="{00000000-0005-0000-0000-0000F0200000}"/>
    <cellStyle name="Note 2 3 2 2 2" xfId="3243" xr:uid="{00000000-0005-0000-0000-0000F1200000}"/>
    <cellStyle name="Note 2 3 2 2 2 2" xfId="7465" xr:uid="{00000000-0005-0000-0000-0000F2200000}"/>
    <cellStyle name="Note 2 3 2 2 2 2 2" xfId="16791" xr:uid="{69E50C97-04CC-4988-B489-4E1F1F83751B}"/>
    <cellStyle name="Note 2 3 2 2 2 3" xfId="12574" xr:uid="{5BE303E1-C80B-42C1-BD94-8CDA48D717C0}"/>
    <cellStyle name="Note 2 3 2 2 3" xfId="5320" xr:uid="{00000000-0005-0000-0000-0000F3200000}"/>
    <cellStyle name="Note 2 3 2 2 3 2" xfId="14646" xr:uid="{08E992D4-C978-403D-B801-E075791E3938}"/>
    <cellStyle name="Note 2 3 2 2 4" xfId="9526" xr:uid="{1C428179-0C82-4F5D-9FE4-E11D597F9E89}"/>
    <cellStyle name="Note 2 3 2 2 4 2" xfId="18841" xr:uid="{D5CBB823-A102-4D4E-8893-93233B7694E6}"/>
    <cellStyle name="Note 2 3 2 2 5" xfId="10429" xr:uid="{181F75CA-C556-42A7-8C5B-A83D982DB699}"/>
    <cellStyle name="Note 2 3 2 3" xfId="1426" xr:uid="{00000000-0005-0000-0000-0000F4200000}"/>
    <cellStyle name="Note 2 3 2 3 2" xfId="3656" xr:uid="{00000000-0005-0000-0000-0000F5200000}"/>
    <cellStyle name="Note 2 3 2 3 2 2" xfId="7878" xr:uid="{00000000-0005-0000-0000-0000F6200000}"/>
    <cellStyle name="Note 2 3 2 3 2 2 2" xfId="17204" xr:uid="{8C26458A-9AE7-47D4-9902-C739F0FA0732}"/>
    <cellStyle name="Note 2 3 2 3 2 3" xfId="12987" xr:uid="{04545BE8-579A-48AD-B7F3-42986BE8F84F}"/>
    <cellStyle name="Note 2 3 2 3 3" xfId="5733" xr:uid="{00000000-0005-0000-0000-0000F7200000}"/>
    <cellStyle name="Note 2 3 2 3 3 2" xfId="15059" xr:uid="{5668DD7E-7E88-4612-9764-232C1DE8F182}"/>
    <cellStyle name="Note 2 3 2 3 4" xfId="10842" xr:uid="{1E4050DB-622E-4AD0-8AD1-DE95A063BF30}"/>
    <cellStyle name="Note 2 3 2 4" xfId="1840" xr:uid="{00000000-0005-0000-0000-0000F8200000}"/>
    <cellStyle name="Note 2 3 2 4 2" xfId="4069" xr:uid="{00000000-0005-0000-0000-0000F9200000}"/>
    <cellStyle name="Note 2 3 2 4 2 2" xfId="8291" xr:uid="{00000000-0005-0000-0000-0000FA200000}"/>
    <cellStyle name="Note 2 3 2 4 2 2 2" xfId="17617" xr:uid="{3AFBB458-D64B-40A0-BCA0-05CAA95EF153}"/>
    <cellStyle name="Note 2 3 2 4 2 3" xfId="13400" xr:uid="{11B0B956-A3C6-4772-890F-9AB3FFB01264}"/>
    <cellStyle name="Note 2 3 2 4 3" xfId="6146" xr:uid="{00000000-0005-0000-0000-0000FB200000}"/>
    <cellStyle name="Note 2 3 2 4 3 2" xfId="15472" xr:uid="{ED1A38B9-F14B-4E4A-A83A-AF80DDC9D722}"/>
    <cellStyle name="Note 2 3 2 4 4" xfId="11255" xr:uid="{505B5888-91F0-44E2-A824-0467F96BB053}"/>
    <cellStyle name="Note 2 3 2 5" xfId="2253" xr:uid="{00000000-0005-0000-0000-0000FC200000}"/>
    <cellStyle name="Note 2 3 2 5 2" xfId="4482" xr:uid="{00000000-0005-0000-0000-0000FD200000}"/>
    <cellStyle name="Note 2 3 2 5 2 2" xfId="8704" xr:uid="{00000000-0005-0000-0000-0000FE200000}"/>
    <cellStyle name="Note 2 3 2 5 2 2 2" xfId="18030" xr:uid="{478D329C-E051-4A68-BF68-62DFF8BE9551}"/>
    <cellStyle name="Note 2 3 2 5 2 3" xfId="13813" xr:uid="{DB62AE3F-5DF0-4D8B-ABF0-4791B4FF5A46}"/>
    <cellStyle name="Note 2 3 2 5 3" xfId="6559" xr:uid="{00000000-0005-0000-0000-0000FF200000}"/>
    <cellStyle name="Note 2 3 2 5 3 2" xfId="15885" xr:uid="{D884E461-0600-48D3-9089-A6808808505F}"/>
    <cellStyle name="Note 2 3 2 5 4" xfId="11668" xr:uid="{77737895-1FBD-4959-BCCF-436033EA7081}"/>
    <cellStyle name="Note 2 3 2 6" xfId="2689" xr:uid="{00000000-0005-0000-0000-000000210000}"/>
    <cellStyle name="Note 2 3 2 6 2" xfId="6972" xr:uid="{00000000-0005-0000-0000-000001210000}"/>
    <cellStyle name="Note 2 3 2 6 2 2" xfId="16298" xr:uid="{3B7D0B53-8B8D-46B9-8D29-A76787189790}"/>
    <cellStyle name="Note 2 3 2 6 3" xfId="12081" xr:uid="{4EFEB6EA-B67B-486D-AD29-DB6C79D1699D}"/>
    <cellStyle name="Note 2 3 2 7" xfId="2748" xr:uid="{00000000-0005-0000-0000-000002210000}"/>
    <cellStyle name="Note 2 3 2 8" xfId="2829" xr:uid="{00000000-0005-0000-0000-000003210000}"/>
    <cellStyle name="Note 2 3 2 8 2" xfId="7052" xr:uid="{00000000-0005-0000-0000-000004210000}"/>
    <cellStyle name="Note 2 3 2 8 2 2" xfId="16378" xr:uid="{5F6C9C31-2048-4274-8931-13FA0320DE65}"/>
    <cellStyle name="Note 2 3 2 8 3" xfId="12161" xr:uid="{BB3EEB0E-3A91-4477-AC0E-9155C2832040}"/>
    <cellStyle name="Note 2 3 2 9" xfId="4907" xr:uid="{00000000-0005-0000-0000-000005210000}"/>
    <cellStyle name="Note 2 3 2 9 2" xfId="14233" xr:uid="{817A98FB-2EBB-4765-8345-20A6140543EB}"/>
    <cellStyle name="Note 2 3 3" xfId="1010" xr:uid="{00000000-0005-0000-0000-000006210000}"/>
    <cellStyle name="Note 2 3 3 2" xfId="3242" xr:uid="{00000000-0005-0000-0000-000007210000}"/>
    <cellStyle name="Note 2 3 3 2 2" xfId="7464" xr:uid="{00000000-0005-0000-0000-000008210000}"/>
    <cellStyle name="Note 2 3 3 2 2 2" xfId="16790" xr:uid="{1CE2CC16-6F86-4409-A255-18055525ABC9}"/>
    <cellStyle name="Note 2 3 3 2 3" xfId="12573" xr:uid="{7E7119A7-317B-483A-979C-C2737A12302B}"/>
    <cellStyle name="Note 2 3 3 3" xfId="5319" xr:uid="{00000000-0005-0000-0000-000009210000}"/>
    <cellStyle name="Note 2 3 3 3 2" xfId="14645" xr:uid="{C1CAC852-2D67-49B6-9EC5-A356280DD803}"/>
    <cellStyle name="Note 2 3 3 4" xfId="9319" xr:uid="{06E4A3C6-5CAA-4424-B4C3-41162F21AE7D}"/>
    <cellStyle name="Note 2 3 3 4 2" xfId="18634" xr:uid="{E9790F0A-DEFB-4FDB-B969-B493B11AA0CE}"/>
    <cellStyle name="Note 2 3 3 5" xfId="10428" xr:uid="{BEA5C3E7-DA08-460C-A521-70994EB20945}"/>
    <cellStyle name="Note 2 3 4" xfId="1425" xr:uid="{00000000-0005-0000-0000-00000A210000}"/>
    <cellStyle name="Note 2 3 4 2" xfId="3655" xr:uid="{00000000-0005-0000-0000-00000B210000}"/>
    <cellStyle name="Note 2 3 4 2 2" xfId="7877" xr:uid="{00000000-0005-0000-0000-00000C210000}"/>
    <cellStyle name="Note 2 3 4 2 2 2" xfId="17203" xr:uid="{3020179E-B66E-4B8B-BBC4-D19FDAD1B117}"/>
    <cellStyle name="Note 2 3 4 2 3" xfId="12986" xr:uid="{E57FA0ED-AED9-41A3-9FA9-9DBD16B5BFCC}"/>
    <cellStyle name="Note 2 3 4 3" xfId="5732" xr:uid="{00000000-0005-0000-0000-00000D210000}"/>
    <cellStyle name="Note 2 3 4 3 2" xfId="15058" xr:uid="{D92759B1-B889-489B-8128-7B68F6F6340A}"/>
    <cellStyle name="Note 2 3 4 4" xfId="10841" xr:uid="{CAB75C81-57C9-422F-8D01-955B09EB3517}"/>
    <cellStyle name="Note 2 3 5" xfId="1839" xr:uid="{00000000-0005-0000-0000-00000E210000}"/>
    <cellStyle name="Note 2 3 5 2" xfId="4068" xr:uid="{00000000-0005-0000-0000-00000F210000}"/>
    <cellStyle name="Note 2 3 5 2 2" xfId="8290" xr:uid="{00000000-0005-0000-0000-000010210000}"/>
    <cellStyle name="Note 2 3 5 2 2 2" xfId="17616" xr:uid="{98301426-D7CC-4F42-A1B5-DED659E94F5F}"/>
    <cellStyle name="Note 2 3 5 2 3" xfId="13399" xr:uid="{B8B0D5B7-D420-4D0F-88AC-76F79074FF4A}"/>
    <cellStyle name="Note 2 3 5 3" xfId="6145" xr:uid="{00000000-0005-0000-0000-000011210000}"/>
    <cellStyle name="Note 2 3 5 3 2" xfId="15471" xr:uid="{820E6143-A4EF-4DBA-B825-DCE820DE07B7}"/>
    <cellStyle name="Note 2 3 5 4" xfId="11254" xr:uid="{0549801D-EF5A-434B-AB9A-C764FCA2C1CC}"/>
    <cellStyle name="Note 2 3 6" xfId="2252" xr:uid="{00000000-0005-0000-0000-000012210000}"/>
    <cellStyle name="Note 2 3 6 2" xfId="4481" xr:uid="{00000000-0005-0000-0000-000013210000}"/>
    <cellStyle name="Note 2 3 6 2 2" xfId="8703" xr:uid="{00000000-0005-0000-0000-000014210000}"/>
    <cellStyle name="Note 2 3 6 2 2 2" xfId="18029" xr:uid="{13336EB4-BA52-45F4-9172-93720AE9DE27}"/>
    <cellStyle name="Note 2 3 6 2 3" xfId="13812" xr:uid="{50A4E0FA-B195-448D-BF38-1F89FF89CFE8}"/>
    <cellStyle name="Note 2 3 6 3" xfId="6558" xr:uid="{00000000-0005-0000-0000-000015210000}"/>
    <cellStyle name="Note 2 3 6 3 2" xfId="15884" xr:uid="{306F88DC-7122-41B7-8934-7D4ABFAF3C6D}"/>
    <cellStyle name="Note 2 3 6 4" xfId="11667" xr:uid="{6EE4591F-96BC-4E54-A261-2021C7635310}"/>
    <cellStyle name="Note 2 3 7" xfId="2688" xr:uid="{00000000-0005-0000-0000-000016210000}"/>
    <cellStyle name="Note 2 3 7 2" xfId="6971" xr:uid="{00000000-0005-0000-0000-000017210000}"/>
    <cellStyle name="Note 2 3 7 2 2" xfId="16297" xr:uid="{54B407A8-DA20-421A-898E-30EE85592622}"/>
    <cellStyle name="Note 2 3 7 3" xfId="12080" xr:uid="{FE8E2B12-5301-4739-AAF7-1D8219E081D9}"/>
    <cellStyle name="Note 2 3 8" xfId="2747" xr:uid="{00000000-0005-0000-0000-000018210000}"/>
    <cellStyle name="Note 2 3 9" xfId="2828" xr:uid="{00000000-0005-0000-0000-000019210000}"/>
    <cellStyle name="Note 2 3 9 2" xfId="7051" xr:uid="{00000000-0005-0000-0000-00001A210000}"/>
    <cellStyle name="Note 2 3 9 2 2" xfId="16377" xr:uid="{44FB477F-A544-44DB-91BA-507277063892}"/>
    <cellStyle name="Note 2 3 9 3" xfId="12160" xr:uid="{B2EFE185-76F5-4DC3-96E9-FC5F49F2F788}"/>
    <cellStyle name="Note 2 4" xfId="551" xr:uid="{00000000-0005-0000-0000-00001B210000}"/>
    <cellStyle name="Note 2 4 10" xfId="8998" xr:uid="{AC87C288-14A9-4FB3-A26C-1706964E6651}"/>
    <cellStyle name="Note 2 4 10 2" xfId="18322" xr:uid="{4C0CE0B7-494A-4B55-9369-CAF22B485EAB}"/>
    <cellStyle name="Note 2 4 11" xfId="10017" xr:uid="{245DE2AD-3751-43AF-9C21-62AC471DA111}"/>
    <cellStyle name="Note 2 4 2" xfId="1012" xr:uid="{00000000-0005-0000-0000-00001C210000}"/>
    <cellStyle name="Note 2 4 2 2" xfId="3244" xr:uid="{00000000-0005-0000-0000-00001D210000}"/>
    <cellStyle name="Note 2 4 2 2 2" xfId="7466" xr:uid="{00000000-0005-0000-0000-00001E210000}"/>
    <cellStyle name="Note 2 4 2 2 2 2" xfId="16792" xr:uid="{906B8A21-173F-4A4F-AE9A-2CFE14212E53}"/>
    <cellStyle name="Note 2 4 2 2 3" xfId="12575" xr:uid="{BCB8D010-7886-4AF0-9C92-70D0F61806E7}"/>
    <cellStyle name="Note 2 4 2 3" xfId="5321" xr:uid="{00000000-0005-0000-0000-00001F210000}"/>
    <cellStyle name="Note 2 4 2 3 2" xfId="14647" xr:uid="{E0D0BC33-6E49-4CC7-BFAA-2B2FF0450545}"/>
    <cellStyle name="Note 2 4 2 4" xfId="9423" xr:uid="{43B93802-BE55-43D9-BEBC-4095E3C1FF74}"/>
    <cellStyle name="Note 2 4 2 4 2" xfId="18738" xr:uid="{F548B0E5-B791-4248-AFD5-7C9C7538A60B}"/>
    <cellStyle name="Note 2 4 2 5" xfId="10430" xr:uid="{550CD26F-DB03-4BC3-9F18-9109502F9DB8}"/>
    <cellStyle name="Note 2 4 3" xfId="1427" xr:uid="{00000000-0005-0000-0000-000020210000}"/>
    <cellStyle name="Note 2 4 3 2" xfId="3657" xr:uid="{00000000-0005-0000-0000-000021210000}"/>
    <cellStyle name="Note 2 4 3 2 2" xfId="7879" xr:uid="{00000000-0005-0000-0000-000022210000}"/>
    <cellStyle name="Note 2 4 3 2 2 2" xfId="17205" xr:uid="{588CCEF0-F2BD-4DF3-AADC-CE4787AD6798}"/>
    <cellStyle name="Note 2 4 3 2 3" xfId="12988" xr:uid="{5CDC0D9C-936C-4169-B114-DFC9A34E6496}"/>
    <cellStyle name="Note 2 4 3 3" xfId="5734" xr:uid="{00000000-0005-0000-0000-000023210000}"/>
    <cellStyle name="Note 2 4 3 3 2" xfId="15060" xr:uid="{8DA5B4AC-B04F-418E-93FB-1B85F18CC8CF}"/>
    <cellStyle name="Note 2 4 3 4" xfId="10843" xr:uid="{6EC2E495-47A4-45A8-9D93-55D9CC442D6D}"/>
    <cellStyle name="Note 2 4 4" xfId="1841" xr:uid="{00000000-0005-0000-0000-000024210000}"/>
    <cellStyle name="Note 2 4 4 2" xfId="4070" xr:uid="{00000000-0005-0000-0000-000025210000}"/>
    <cellStyle name="Note 2 4 4 2 2" xfId="8292" xr:uid="{00000000-0005-0000-0000-000026210000}"/>
    <cellStyle name="Note 2 4 4 2 2 2" xfId="17618" xr:uid="{CD350F67-D6A3-4D44-8EC2-B4247E390159}"/>
    <cellStyle name="Note 2 4 4 2 3" xfId="13401" xr:uid="{F19937D3-5B48-4EEA-81F2-A4508672DBEF}"/>
    <cellStyle name="Note 2 4 4 3" xfId="6147" xr:uid="{00000000-0005-0000-0000-000027210000}"/>
    <cellStyle name="Note 2 4 4 3 2" xfId="15473" xr:uid="{3AE44D9D-38F1-462C-ABA2-448A7508167C}"/>
    <cellStyle name="Note 2 4 4 4" xfId="11256" xr:uid="{44C989E4-C7DF-4993-B370-C663EF181D54}"/>
    <cellStyle name="Note 2 4 5" xfId="2254" xr:uid="{00000000-0005-0000-0000-000028210000}"/>
    <cellStyle name="Note 2 4 5 2" xfId="4483" xr:uid="{00000000-0005-0000-0000-000029210000}"/>
    <cellStyle name="Note 2 4 5 2 2" xfId="8705" xr:uid="{00000000-0005-0000-0000-00002A210000}"/>
    <cellStyle name="Note 2 4 5 2 2 2" xfId="18031" xr:uid="{FD1D6FD0-B272-43A9-9A97-7B0F846FCFCC}"/>
    <cellStyle name="Note 2 4 5 2 3" xfId="13814" xr:uid="{558D6111-E84B-4249-8EEE-C7E327992B2F}"/>
    <cellStyle name="Note 2 4 5 3" xfId="6560" xr:uid="{00000000-0005-0000-0000-00002B210000}"/>
    <cellStyle name="Note 2 4 5 3 2" xfId="15886" xr:uid="{8EC0E577-8D3D-41BC-97A5-E06D5B9A7A46}"/>
    <cellStyle name="Note 2 4 5 4" xfId="11669" xr:uid="{4189F6E8-518C-42B4-88F6-CEF011434A7E}"/>
    <cellStyle name="Note 2 4 6" xfId="2690" xr:uid="{00000000-0005-0000-0000-00002C210000}"/>
    <cellStyle name="Note 2 4 6 2" xfId="6973" xr:uid="{00000000-0005-0000-0000-00002D210000}"/>
    <cellStyle name="Note 2 4 6 2 2" xfId="16299" xr:uid="{30F7E1D3-75CE-402D-8D8F-059B1052D294}"/>
    <cellStyle name="Note 2 4 6 3" xfId="12082" xr:uid="{8D64CFBC-5A3A-4B45-A177-D09D0A9A59FB}"/>
    <cellStyle name="Note 2 4 7" xfId="2749" xr:uid="{00000000-0005-0000-0000-00002E210000}"/>
    <cellStyle name="Note 2 4 8" xfId="2830" xr:uid="{00000000-0005-0000-0000-00002F210000}"/>
    <cellStyle name="Note 2 4 8 2" xfId="7053" xr:uid="{00000000-0005-0000-0000-000030210000}"/>
    <cellStyle name="Note 2 4 8 2 2" xfId="16379" xr:uid="{F1BD13F7-50C5-45D9-8E5A-90DC7C682AEE}"/>
    <cellStyle name="Note 2 4 8 3" xfId="12162" xr:uid="{9FD36B55-32A2-4F53-B56D-AEC9DEC04F6A}"/>
    <cellStyle name="Note 2 4 9" xfId="4908" xr:uid="{00000000-0005-0000-0000-000031210000}"/>
    <cellStyle name="Note 2 4 9 2" xfId="14234" xr:uid="{F0D767D3-CBB9-4106-9D9B-7DC2044BA3A3}"/>
    <cellStyle name="Note 2 5" xfId="552" xr:uid="{00000000-0005-0000-0000-000032210000}"/>
    <cellStyle name="Note 2 5 10" xfId="9215" xr:uid="{69947D86-0683-476F-9E74-96CA08091560}"/>
    <cellStyle name="Note 2 5 10 2" xfId="18531" xr:uid="{A4ABAF64-03D5-4398-8837-894DB8176C85}"/>
    <cellStyle name="Note 2 5 11" xfId="10018" xr:uid="{74A1B046-23E8-432E-A8ED-3E2B910F348C}"/>
    <cellStyle name="Note 2 5 2" xfId="1013" xr:uid="{00000000-0005-0000-0000-000033210000}"/>
    <cellStyle name="Note 2 5 2 2" xfId="3245" xr:uid="{00000000-0005-0000-0000-000034210000}"/>
    <cellStyle name="Note 2 5 2 2 2" xfId="7467" xr:uid="{00000000-0005-0000-0000-000035210000}"/>
    <cellStyle name="Note 2 5 2 2 2 2" xfId="16793" xr:uid="{2F1BE974-AB4D-4E1F-8A40-ADBCFC3184A2}"/>
    <cellStyle name="Note 2 5 2 2 3" xfId="12576" xr:uid="{82428F36-9A5C-4FFF-A2CB-A97B3F1E4391}"/>
    <cellStyle name="Note 2 5 2 3" xfId="5322" xr:uid="{00000000-0005-0000-0000-000036210000}"/>
    <cellStyle name="Note 2 5 2 3 2" xfId="14648" xr:uid="{A56D377E-9DB7-406E-A8E2-83193C11A91D}"/>
    <cellStyle name="Note 2 5 2 4" xfId="9610" xr:uid="{26530D10-1DF8-4FA4-8FC9-4C945AA92A94}"/>
    <cellStyle name="Note 2 5 2 4 2" xfId="18910" xr:uid="{D367594B-DA7A-4DC6-81EE-F656913F7054}"/>
    <cellStyle name="Note 2 5 2 5" xfId="10431" xr:uid="{FDCCD9DB-A226-4D77-8F82-866E1BDA3CFB}"/>
    <cellStyle name="Note 2 5 3" xfId="1428" xr:uid="{00000000-0005-0000-0000-000037210000}"/>
    <cellStyle name="Note 2 5 3 2" xfId="3658" xr:uid="{00000000-0005-0000-0000-000038210000}"/>
    <cellStyle name="Note 2 5 3 2 2" xfId="7880" xr:uid="{00000000-0005-0000-0000-000039210000}"/>
    <cellStyle name="Note 2 5 3 2 2 2" xfId="17206" xr:uid="{5E25F201-9B85-41F5-A01F-5DF036FAAFB0}"/>
    <cellStyle name="Note 2 5 3 2 3" xfId="12989" xr:uid="{380E312A-8635-49B2-8D0C-D12AE6A121E0}"/>
    <cellStyle name="Note 2 5 3 3" xfId="5735" xr:uid="{00000000-0005-0000-0000-00003A210000}"/>
    <cellStyle name="Note 2 5 3 3 2" xfId="15061" xr:uid="{9D816D3B-02D5-4FFF-9894-5E5FD3044D4D}"/>
    <cellStyle name="Note 2 5 3 4" xfId="10844" xr:uid="{090E12FF-41FC-4A1F-B42A-C5823CB354AE}"/>
    <cellStyle name="Note 2 5 4" xfId="1842" xr:uid="{00000000-0005-0000-0000-00003B210000}"/>
    <cellStyle name="Note 2 5 4 2" xfId="4071" xr:uid="{00000000-0005-0000-0000-00003C210000}"/>
    <cellStyle name="Note 2 5 4 2 2" xfId="8293" xr:uid="{00000000-0005-0000-0000-00003D210000}"/>
    <cellStyle name="Note 2 5 4 2 2 2" xfId="17619" xr:uid="{D9B9B064-F704-4F90-A2A7-06D8692D1753}"/>
    <cellStyle name="Note 2 5 4 2 3" xfId="13402" xr:uid="{8E6667B0-C89C-4A5B-9F38-BBCC644FF89B}"/>
    <cellStyle name="Note 2 5 4 3" xfId="6148" xr:uid="{00000000-0005-0000-0000-00003E210000}"/>
    <cellStyle name="Note 2 5 4 3 2" xfId="15474" xr:uid="{D755AEEC-7879-4B92-B919-B8D4769A7A7F}"/>
    <cellStyle name="Note 2 5 4 4" xfId="11257" xr:uid="{7C44C1DB-6C73-47C4-AC75-B3B76898FF47}"/>
    <cellStyle name="Note 2 5 5" xfId="2255" xr:uid="{00000000-0005-0000-0000-00003F210000}"/>
    <cellStyle name="Note 2 5 5 2" xfId="4484" xr:uid="{00000000-0005-0000-0000-000040210000}"/>
    <cellStyle name="Note 2 5 5 2 2" xfId="8706" xr:uid="{00000000-0005-0000-0000-000041210000}"/>
    <cellStyle name="Note 2 5 5 2 2 2" xfId="18032" xr:uid="{A87DF21B-AD50-449F-90FE-5D482DA174FA}"/>
    <cellStyle name="Note 2 5 5 2 3" xfId="13815" xr:uid="{D5004FEB-08C2-424C-9B03-9C25BF1EE76A}"/>
    <cellStyle name="Note 2 5 5 3" xfId="6561" xr:uid="{00000000-0005-0000-0000-000042210000}"/>
    <cellStyle name="Note 2 5 5 3 2" xfId="15887" xr:uid="{26D283E8-6D26-4BE6-A8CE-C1F1A96060B1}"/>
    <cellStyle name="Note 2 5 5 4" xfId="11670" xr:uid="{4A172EA2-9C05-4F60-9EA6-186B40FC9B67}"/>
    <cellStyle name="Note 2 5 6" xfId="2691" xr:uid="{00000000-0005-0000-0000-000043210000}"/>
    <cellStyle name="Note 2 5 6 2" xfId="6974" xr:uid="{00000000-0005-0000-0000-000044210000}"/>
    <cellStyle name="Note 2 5 6 2 2" xfId="16300" xr:uid="{4A813FAC-C59A-4A62-9406-D18859C89585}"/>
    <cellStyle name="Note 2 5 6 3" xfId="12083" xr:uid="{D11541E1-68BD-44FC-BDC6-A97578E86594}"/>
    <cellStyle name="Note 2 5 7" xfId="2750" xr:uid="{00000000-0005-0000-0000-000045210000}"/>
    <cellStyle name="Note 2 5 8" xfId="2831" xr:uid="{00000000-0005-0000-0000-000046210000}"/>
    <cellStyle name="Note 2 5 8 2" xfId="7054" xr:uid="{00000000-0005-0000-0000-000047210000}"/>
    <cellStyle name="Note 2 5 8 2 2" xfId="16380" xr:uid="{58076CE6-EDE8-49AC-A734-1A3982DF03E5}"/>
    <cellStyle name="Note 2 5 8 3" xfId="12163" xr:uid="{A9551F2C-4E0D-49A6-B629-23A9C1CB7659}"/>
    <cellStyle name="Note 2 5 9" xfId="4909" xr:uid="{00000000-0005-0000-0000-000048210000}"/>
    <cellStyle name="Note 2 5 9 2" xfId="14235" xr:uid="{7E25EF51-AE00-429E-B663-83685E28520A}"/>
    <cellStyle name="Note 2 6" xfId="9587" xr:uid="{DE0DCBC9-1C06-4AD6-BDCF-10B3C6A625B6}"/>
    <cellStyle name="Note 2 7" xfId="8791" xr:uid="{7AC3614D-154D-4BB0-B207-B3151ECF2433}"/>
    <cellStyle name="Note 2 7 2" xfId="18115" xr:uid="{EC426A1C-CF07-45F7-A6DA-742099A53945}"/>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9F5FFCA2-B3AB-42FD-9C3F-0276E08B1885}"/>
    <cellStyle name="Note 3 2 10 3" xfId="12164" xr:uid="{B4C42CA9-A3FD-42E4-8DAA-B465698D5C4C}"/>
    <cellStyle name="Note 3 2 11" xfId="4910" xr:uid="{00000000-0005-0000-0000-00004D210000}"/>
    <cellStyle name="Note 3 2 11 2" xfId="14236" xr:uid="{D7D7045E-43DF-4CAA-A0C8-B944CD1DB80F}"/>
    <cellStyle name="Note 3 2 12" xfId="8842" xr:uid="{646587AC-B7A9-43E2-AC1E-1B77745805D8}"/>
    <cellStyle name="Note 3 2 12 2" xfId="18166" xr:uid="{B72F05BB-1F12-4D2A-ACDA-E611D39538B9}"/>
    <cellStyle name="Note 3 2 13" xfId="10019" xr:uid="{246CAA5D-1750-4CEF-B4F8-BAA5F9E1BCFA}"/>
    <cellStyle name="Note 3 2 2" xfId="555" xr:uid="{00000000-0005-0000-0000-00004E210000}"/>
    <cellStyle name="Note 3 2 2 10" xfId="4911" xr:uid="{00000000-0005-0000-0000-00004F210000}"/>
    <cellStyle name="Note 3 2 2 10 2" xfId="14237" xr:uid="{85272981-21A8-490C-A979-9A1D8076BD8D}"/>
    <cellStyle name="Note 3 2 2 11" xfId="8945" xr:uid="{D320AF38-4F47-4266-9CB9-3BD7E15BFDAE}"/>
    <cellStyle name="Note 3 2 2 11 2" xfId="18269" xr:uid="{FCF00EAB-4F15-4272-B4A9-900446DBEC4F}"/>
    <cellStyle name="Note 3 2 2 12" xfId="10020" xr:uid="{1D0BF0A9-09AB-4E40-8681-9E7D664FC881}"/>
    <cellStyle name="Note 3 2 2 2" xfId="556" xr:uid="{00000000-0005-0000-0000-000050210000}"/>
    <cellStyle name="Note 3 2 2 2 10" xfId="9152" xr:uid="{24874F5B-4700-44ED-9556-84C4E89A274D}"/>
    <cellStyle name="Note 3 2 2 2 10 2" xfId="18476" xr:uid="{CEB725ED-A159-44E7-9568-C8E9CCD22196}"/>
    <cellStyle name="Note 3 2 2 2 11" xfId="10021" xr:uid="{8DF71B83-283A-4B1C-9574-B7EA983AD27B}"/>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7CFFC2E4-6F78-4BA6-8FB6-68EBA8A560AF}"/>
    <cellStyle name="Note 3 2 2 2 2 2 3" xfId="12579" xr:uid="{946B12D5-95D1-416F-861C-2F39DA4CF9BA}"/>
    <cellStyle name="Note 3 2 2 2 2 3" xfId="5325" xr:uid="{00000000-0005-0000-0000-000054210000}"/>
    <cellStyle name="Note 3 2 2 2 2 3 2" xfId="14651" xr:uid="{D4B27E67-9986-48D3-9555-4AF7921074D2}"/>
    <cellStyle name="Note 3 2 2 2 2 4" xfId="9577" xr:uid="{7C0C89D7-CA14-4942-89B2-D584AC810EDC}"/>
    <cellStyle name="Note 3 2 2 2 2 4 2" xfId="18892" xr:uid="{7445B4C4-7ECF-4E2D-9AE5-BDB6A89DBCA0}"/>
    <cellStyle name="Note 3 2 2 2 2 5" xfId="10434" xr:uid="{37B0BAF3-7442-44EA-951B-7868147FE9B6}"/>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34B9050D-28FF-4DE3-9FBB-7D32197CF10A}"/>
    <cellStyle name="Note 3 2 2 2 3 2 3" xfId="12992" xr:uid="{F4257217-4FAC-4DFE-8D9C-72532F80456A}"/>
    <cellStyle name="Note 3 2 2 2 3 3" xfId="5738" xr:uid="{00000000-0005-0000-0000-000058210000}"/>
    <cellStyle name="Note 3 2 2 2 3 3 2" xfId="15064" xr:uid="{95F0D757-143E-4868-96E5-083C7779C728}"/>
    <cellStyle name="Note 3 2 2 2 3 4" xfId="10847" xr:uid="{E7F55E6E-BD88-4EDD-8E37-DAB6B5C753B2}"/>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427B811F-24DF-4588-A25C-D5B912CC9A6F}"/>
    <cellStyle name="Note 3 2 2 2 4 2 3" xfId="13405" xr:uid="{7BCC5832-8112-4EA5-A98F-07C563B972BD}"/>
    <cellStyle name="Note 3 2 2 2 4 3" xfId="6151" xr:uid="{00000000-0005-0000-0000-00005C210000}"/>
    <cellStyle name="Note 3 2 2 2 4 3 2" xfId="15477" xr:uid="{4CE5AAA7-3271-4C66-8519-05BCDF039357}"/>
    <cellStyle name="Note 3 2 2 2 4 4" xfId="11260" xr:uid="{432F9BF7-09D9-4367-9AB5-C9D551BE9092}"/>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C09B309C-EBA1-42B2-8BC3-AD7BCD3C565B}"/>
    <cellStyle name="Note 3 2 2 2 5 2 3" xfId="13818" xr:uid="{7218C331-4DC3-47B5-8281-CFC1D8432564}"/>
    <cellStyle name="Note 3 2 2 2 5 3" xfId="6564" xr:uid="{00000000-0005-0000-0000-000060210000}"/>
    <cellStyle name="Note 3 2 2 2 5 3 2" xfId="15890" xr:uid="{6EDB019E-9CA5-426A-B33A-B98A1024241A}"/>
    <cellStyle name="Note 3 2 2 2 5 4" xfId="11673" xr:uid="{A1D11D74-3FFA-416B-BDDE-9B9D1239B1ED}"/>
    <cellStyle name="Note 3 2 2 2 6" xfId="2694" xr:uid="{00000000-0005-0000-0000-000061210000}"/>
    <cellStyle name="Note 3 2 2 2 6 2" xfId="6977" xr:uid="{00000000-0005-0000-0000-000062210000}"/>
    <cellStyle name="Note 3 2 2 2 6 2 2" xfId="16303" xr:uid="{1810522E-7346-4F38-AC19-190FEEE1C5CF}"/>
    <cellStyle name="Note 3 2 2 2 6 3" xfId="12086" xr:uid="{D7FCF57A-4B1A-4323-A7FC-57447AD41122}"/>
    <cellStyle name="Note 3 2 2 2 7" xfId="2753" xr:uid="{00000000-0005-0000-0000-000063210000}"/>
    <cellStyle name="Note 3 2 2 2 8" xfId="2834" xr:uid="{00000000-0005-0000-0000-000064210000}"/>
    <cellStyle name="Note 3 2 2 2 8 2" xfId="7057" xr:uid="{00000000-0005-0000-0000-000065210000}"/>
    <cellStyle name="Note 3 2 2 2 8 2 2" xfId="16383" xr:uid="{BA83E082-6F08-4587-92DA-406E386B24A4}"/>
    <cellStyle name="Note 3 2 2 2 8 3" xfId="12166" xr:uid="{CAB194D1-2DA3-4A4F-A824-334879465326}"/>
    <cellStyle name="Note 3 2 2 2 9" xfId="4912" xr:uid="{00000000-0005-0000-0000-000066210000}"/>
    <cellStyle name="Note 3 2 2 2 9 2" xfId="14238" xr:uid="{507AE8E5-657F-4DFE-B98C-42438EF1945E}"/>
    <cellStyle name="Note 3 2 2 3" xfId="1015" xr:uid="{00000000-0005-0000-0000-000067210000}"/>
    <cellStyle name="Note 3 2 2 3 2" xfId="3247" xr:uid="{00000000-0005-0000-0000-000068210000}"/>
    <cellStyle name="Note 3 2 2 3 2 2" xfId="7469" xr:uid="{00000000-0005-0000-0000-000069210000}"/>
    <cellStyle name="Note 3 2 2 3 2 2 2" xfId="16795" xr:uid="{0A7DA755-F0D4-41FB-B76E-197EDFC3E99A}"/>
    <cellStyle name="Note 3 2 2 3 2 3" xfId="12578" xr:uid="{8B24A37A-DC1B-4577-909F-DB367B03CD2A}"/>
    <cellStyle name="Note 3 2 2 3 3" xfId="5324" xr:uid="{00000000-0005-0000-0000-00006A210000}"/>
    <cellStyle name="Note 3 2 2 3 3 2" xfId="14650" xr:uid="{D4930093-9203-43C8-AFD3-2B7010886727}"/>
    <cellStyle name="Note 3 2 2 3 4" xfId="9370" xr:uid="{7A803908-679B-4EF0-9BD4-89724B1FB321}"/>
    <cellStyle name="Note 3 2 2 3 4 2" xfId="18685" xr:uid="{1EE77B52-C0D3-444A-B622-B485F2128BC1}"/>
    <cellStyle name="Note 3 2 2 3 5" xfId="10433" xr:uid="{29186EDF-BA98-4C4B-905E-067FE53766A5}"/>
    <cellStyle name="Note 3 2 2 4" xfId="1430" xr:uid="{00000000-0005-0000-0000-00006B210000}"/>
    <cellStyle name="Note 3 2 2 4 2" xfId="3660" xr:uid="{00000000-0005-0000-0000-00006C210000}"/>
    <cellStyle name="Note 3 2 2 4 2 2" xfId="7882" xr:uid="{00000000-0005-0000-0000-00006D210000}"/>
    <cellStyle name="Note 3 2 2 4 2 2 2" xfId="17208" xr:uid="{5B72A350-4BFF-430C-AFFA-191E38234E54}"/>
    <cellStyle name="Note 3 2 2 4 2 3" xfId="12991" xr:uid="{DA81401D-725B-4039-A410-50469A8387A1}"/>
    <cellStyle name="Note 3 2 2 4 3" xfId="5737" xr:uid="{00000000-0005-0000-0000-00006E210000}"/>
    <cellStyle name="Note 3 2 2 4 3 2" xfId="15063" xr:uid="{42D6058C-FE3F-4FD0-AA98-D4AFA093761C}"/>
    <cellStyle name="Note 3 2 2 4 4" xfId="10846" xr:uid="{87B8324F-FD7D-4BF8-9B58-4A05B63FD050}"/>
    <cellStyle name="Note 3 2 2 5" xfId="1844" xr:uid="{00000000-0005-0000-0000-00006F210000}"/>
    <cellStyle name="Note 3 2 2 5 2" xfId="4073" xr:uid="{00000000-0005-0000-0000-000070210000}"/>
    <cellStyle name="Note 3 2 2 5 2 2" xfId="8295" xr:uid="{00000000-0005-0000-0000-000071210000}"/>
    <cellStyle name="Note 3 2 2 5 2 2 2" xfId="17621" xr:uid="{DB2EDA0C-E269-400C-BEBA-685056A36F6A}"/>
    <cellStyle name="Note 3 2 2 5 2 3" xfId="13404" xr:uid="{20056929-EA7B-4E7B-AA21-B5D66111AC8B}"/>
    <cellStyle name="Note 3 2 2 5 3" xfId="6150" xr:uid="{00000000-0005-0000-0000-000072210000}"/>
    <cellStyle name="Note 3 2 2 5 3 2" xfId="15476" xr:uid="{ABB89C5F-07EF-4ED9-A56B-E9CCAB39013A}"/>
    <cellStyle name="Note 3 2 2 5 4" xfId="11259" xr:uid="{B6CB3D0E-9C64-42EC-8BCE-EA85A4CB2A64}"/>
    <cellStyle name="Note 3 2 2 6" xfId="2257" xr:uid="{00000000-0005-0000-0000-000073210000}"/>
    <cellStyle name="Note 3 2 2 6 2" xfId="4486" xr:uid="{00000000-0005-0000-0000-000074210000}"/>
    <cellStyle name="Note 3 2 2 6 2 2" xfId="8708" xr:uid="{00000000-0005-0000-0000-000075210000}"/>
    <cellStyle name="Note 3 2 2 6 2 2 2" xfId="18034" xr:uid="{306FB191-F2A2-43E7-B6CE-F36E0CF42B0B}"/>
    <cellStyle name="Note 3 2 2 6 2 3" xfId="13817" xr:uid="{050B2386-B387-49CA-9020-3B938D4826C9}"/>
    <cellStyle name="Note 3 2 2 6 3" xfId="6563" xr:uid="{00000000-0005-0000-0000-000076210000}"/>
    <cellStyle name="Note 3 2 2 6 3 2" xfId="15889" xr:uid="{A54E9E2D-85E4-4E8F-A592-3F5F9A99A34D}"/>
    <cellStyle name="Note 3 2 2 6 4" xfId="11672" xr:uid="{B5990D0B-A691-4BF2-834F-5E1CAF38A56C}"/>
    <cellStyle name="Note 3 2 2 7" xfId="2693" xr:uid="{00000000-0005-0000-0000-000077210000}"/>
    <cellStyle name="Note 3 2 2 7 2" xfId="6976" xr:uid="{00000000-0005-0000-0000-000078210000}"/>
    <cellStyle name="Note 3 2 2 7 2 2" xfId="16302" xr:uid="{5A2C4C06-39B3-46C1-A75C-B8191D089CD4}"/>
    <cellStyle name="Note 3 2 2 7 3" xfId="12085" xr:uid="{A0906B01-D5AB-4CCA-9ED0-3A9E9990C721}"/>
    <cellStyle name="Note 3 2 2 8" xfId="2752" xr:uid="{00000000-0005-0000-0000-000079210000}"/>
    <cellStyle name="Note 3 2 2 9" xfId="2833" xr:uid="{00000000-0005-0000-0000-00007A210000}"/>
    <cellStyle name="Note 3 2 2 9 2" xfId="7056" xr:uid="{00000000-0005-0000-0000-00007B210000}"/>
    <cellStyle name="Note 3 2 2 9 2 2" xfId="16382" xr:uid="{F9A2E890-2508-4827-A9B3-7A1EB921DBED}"/>
    <cellStyle name="Note 3 2 2 9 3" xfId="12165" xr:uid="{38F13C4A-D941-4083-812C-BB3C34303E8D}"/>
    <cellStyle name="Note 3 2 3" xfId="557" xr:uid="{00000000-0005-0000-0000-00007C210000}"/>
    <cellStyle name="Note 3 2 3 10" xfId="9049" xr:uid="{98DA21AE-8EED-4AF2-A5D5-94394E9C9EFE}"/>
    <cellStyle name="Note 3 2 3 10 2" xfId="18373" xr:uid="{76C94CC6-7CCC-475D-AED8-4DAAA2601565}"/>
    <cellStyle name="Note 3 2 3 11" xfId="10022" xr:uid="{FBC94A68-87E8-480A-A6AE-92C3065BB318}"/>
    <cellStyle name="Note 3 2 3 2" xfId="1017" xr:uid="{00000000-0005-0000-0000-00007D210000}"/>
    <cellStyle name="Note 3 2 3 2 2" xfId="3249" xr:uid="{00000000-0005-0000-0000-00007E210000}"/>
    <cellStyle name="Note 3 2 3 2 2 2" xfId="7471" xr:uid="{00000000-0005-0000-0000-00007F210000}"/>
    <cellStyle name="Note 3 2 3 2 2 2 2" xfId="16797" xr:uid="{82AB5F75-C70D-46F5-B398-55C30D7305F5}"/>
    <cellStyle name="Note 3 2 3 2 2 3" xfId="12580" xr:uid="{7A6920F0-5207-48D8-BF1F-CDBA53E4AC1D}"/>
    <cellStyle name="Note 3 2 3 2 3" xfId="5326" xr:uid="{00000000-0005-0000-0000-000080210000}"/>
    <cellStyle name="Note 3 2 3 2 3 2" xfId="14652" xr:uid="{570CF5DA-E158-4996-B139-4B88BA50EBC8}"/>
    <cellStyle name="Note 3 2 3 2 4" xfId="9474" xr:uid="{8827394E-7DCF-4E58-BF45-94E8587F7D91}"/>
    <cellStyle name="Note 3 2 3 2 4 2" xfId="18789" xr:uid="{D11BB26F-A33D-45C5-BFF1-63552EADF12C}"/>
    <cellStyle name="Note 3 2 3 2 5" xfId="10435" xr:uid="{84F232E5-2133-4569-88A8-62ED01D0822D}"/>
    <cellStyle name="Note 3 2 3 3" xfId="1432" xr:uid="{00000000-0005-0000-0000-000081210000}"/>
    <cellStyle name="Note 3 2 3 3 2" xfId="3662" xr:uid="{00000000-0005-0000-0000-000082210000}"/>
    <cellStyle name="Note 3 2 3 3 2 2" xfId="7884" xr:uid="{00000000-0005-0000-0000-000083210000}"/>
    <cellStyle name="Note 3 2 3 3 2 2 2" xfId="17210" xr:uid="{4040ABAE-691C-434F-9BA9-101FFA49BC08}"/>
    <cellStyle name="Note 3 2 3 3 2 3" xfId="12993" xr:uid="{ED79C522-FDB3-4DF1-86CE-8B08C4B4EE90}"/>
    <cellStyle name="Note 3 2 3 3 3" xfId="5739" xr:uid="{00000000-0005-0000-0000-000084210000}"/>
    <cellStyle name="Note 3 2 3 3 3 2" xfId="15065" xr:uid="{ED76391F-D391-4C8F-8CD7-465E6C3A4ABA}"/>
    <cellStyle name="Note 3 2 3 3 4" xfId="10848" xr:uid="{1E5F47DF-116B-49C8-B4FF-EC3081B11084}"/>
    <cellStyle name="Note 3 2 3 4" xfId="1846" xr:uid="{00000000-0005-0000-0000-000085210000}"/>
    <cellStyle name="Note 3 2 3 4 2" xfId="4075" xr:uid="{00000000-0005-0000-0000-000086210000}"/>
    <cellStyle name="Note 3 2 3 4 2 2" xfId="8297" xr:uid="{00000000-0005-0000-0000-000087210000}"/>
    <cellStyle name="Note 3 2 3 4 2 2 2" xfId="17623" xr:uid="{A963C22F-92A0-473B-AB15-32937FCAE73D}"/>
    <cellStyle name="Note 3 2 3 4 2 3" xfId="13406" xr:uid="{AE2F3B42-DF57-417A-9775-B6A77099C15F}"/>
    <cellStyle name="Note 3 2 3 4 3" xfId="6152" xr:uid="{00000000-0005-0000-0000-000088210000}"/>
    <cellStyle name="Note 3 2 3 4 3 2" xfId="15478" xr:uid="{8B0000DA-DB50-4666-82F4-CCB1B9DC2CF4}"/>
    <cellStyle name="Note 3 2 3 4 4" xfId="11261" xr:uid="{04FA6E8C-66CC-413E-B3F3-504FA5145252}"/>
    <cellStyle name="Note 3 2 3 5" xfId="2259" xr:uid="{00000000-0005-0000-0000-000089210000}"/>
    <cellStyle name="Note 3 2 3 5 2" xfId="4488" xr:uid="{00000000-0005-0000-0000-00008A210000}"/>
    <cellStyle name="Note 3 2 3 5 2 2" xfId="8710" xr:uid="{00000000-0005-0000-0000-00008B210000}"/>
    <cellStyle name="Note 3 2 3 5 2 2 2" xfId="18036" xr:uid="{4E0DADEE-66AE-472B-8A24-8D0F0EF926DE}"/>
    <cellStyle name="Note 3 2 3 5 2 3" xfId="13819" xr:uid="{9E0FAE93-E9A6-421B-81C7-F468E087932B}"/>
    <cellStyle name="Note 3 2 3 5 3" xfId="6565" xr:uid="{00000000-0005-0000-0000-00008C210000}"/>
    <cellStyle name="Note 3 2 3 5 3 2" xfId="15891" xr:uid="{D57A1B2E-AAEB-49B4-8B88-1774CEE9ED5E}"/>
    <cellStyle name="Note 3 2 3 5 4" xfId="11674" xr:uid="{4EEB65FF-A6F4-4460-890B-F119F775A54B}"/>
    <cellStyle name="Note 3 2 3 6" xfId="2695" xr:uid="{00000000-0005-0000-0000-00008D210000}"/>
    <cellStyle name="Note 3 2 3 6 2" xfId="6978" xr:uid="{00000000-0005-0000-0000-00008E210000}"/>
    <cellStyle name="Note 3 2 3 6 2 2" xfId="16304" xr:uid="{FB972558-8A57-483C-A905-D30C20AB2AAE}"/>
    <cellStyle name="Note 3 2 3 6 3" xfId="12087" xr:uid="{CB659FB6-5A9A-4AA7-BB7C-CBF9259C96D1}"/>
    <cellStyle name="Note 3 2 3 7" xfId="2754" xr:uid="{00000000-0005-0000-0000-00008F210000}"/>
    <cellStyle name="Note 3 2 3 8" xfId="2835" xr:uid="{00000000-0005-0000-0000-000090210000}"/>
    <cellStyle name="Note 3 2 3 8 2" xfId="7058" xr:uid="{00000000-0005-0000-0000-000091210000}"/>
    <cellStyle name="Note 3 2 3 8 2 2" xfId="16384" xr:uid="{4C150E97-8FA5-4720-AF1C-8337E884FFBF}"/>
    <cellStyle name="Note 3 2 3 8 3" xfId="12167" xr:uid="{E4E55E96-6C6D-4364-A98F-F94DA8128F1A}"/>
    <cellStyle name="Note 3 2 3 9" xfId="4913" xr:uid="{00000000-0005-0000-0000-000092210000}"/>
    <cellStyle name="Note 3 2 3 9 2" xfId="14239" xr:uid="{087A36DD-6CF5-44AD-A0AC-28C0629D255C}"/>
    <cellStyle name="Note 3 2 4" xfId="1014" xr:uid="{00000000-0005-0000-0000-000093210000}"/>
    <cellStyle name="Note 3 2 4 2" xfId="3246" xr:uid="{00000000-0005-0000-0000-000094210000}"/>
    <cellStyle name="Note 3 2 4 2 2" xfId="7468" xr:uid="{00000000-0005-0000-0000-000095210000}"/>
    <cellStyle name="Note 3 2 4 2 2 2" xfId="16794" xr:uid="{839E85FB-57C3-4A5C-A7FD-70F285555E1E}"/>
    <cellStyle name="Note 3 2 4 2 3" xfId="12577" xr:uid="{A3800FAC-3D3A-4B3C-8A66-252A14C8E856}"/>
    <cellStyle name="Note 3 2 4 3" xfId="5323" xr:uid="{00000000-0005-0000-0000-000096210000}"/>
    <cellStyle name="Note 3 2 4 3 2" xfId="14649" xr:uid="{36435DA3-F427-4EF7-9260-F749DA7979CA}"/>
    <cellStyle name="Note 3 2 4 4" xfId="9267" xr:uid="{1291CED5-E18E-4F1A-8856-A132B18F5C81}"/>
    <cellStyle name="Note 3 2 4 4 2" xfId="18582" xr:uid="{58491C73-12A1-46EB-9694-D2CD6B3ACD68}"/>
    <cellStyle name="Note 3 2 4 5" xfId="10432" xr:uid="{850A4045-9444-4371-8C40-64E8F4E1C249}"/>
    <cellStyle name="Note 3 2 5" xfId="1429" xr:uid="{00000000-0005-0000-0000-000097210000}"/>
    <cellStyle name="Note 3 2 5 2" xfId="3659" xr:uid="{00000000-0005-0000-0000-000098210000}"/>
    <cellStyle name="Note 3 2 5 2 2" xfId="7881" xr:uid="{00000000-0005-0000-0000-000099210000}"/>
    <cellStyle name="Note 3 2 5 2 2 2" xfId="17207" xr:uid="{22C1C1A9-E372-4C10-B38C-EF21527B051F}"/>
    <cellStyle name="Note 3 2 5 2 3" xfId="12990" xr:uid="{49657658-FA0E-42A1-A2C3-9018F1DAE07A}"/>
    <cellStyle name="Note 3 2 5 3" xfId="5736" xr:uid="{00000000-0005-0000-0000-00009A210000}"/>
    <cellStyle name="Note 3 2 5 3 2" xfId="15062" xr:uid="{00186642-B8B4-4862-9B2B-1C241D08B6C0}"/>
    <cellStyle name="Note 3 2 5 4" xfId="10845" xr:uid="{DFD5FAB7-E061-4987-BDFF-358BE10F591B}"/>
    <cellStyle name="Note 3 2 6" xfId="1843" xr:uid="{00000000-0005-0000-0000-00009B210000}"/>
    <cellStyle name="Note 3 2 6 2" xfId="4072" xr:uid="{00000000-0005-0000-0000-00009C210000}"/>
    <cellStyle name="Note 3 2 6 2 2" xfId="8294" xr:uid="{00000000-0005-0000-0000-00009D210000}"/>
    <cellStyle name="Note 3 2 6 2 2 2" xfId="17620" xr:uid="{B64D7892-09AE-4CB5-9246-A18EB8FD22AF}"/>
    <cellStyle name="Note 3 2 6 2 3" xfId="13403" xr:uid="{FB7092AF-5175-4D72-BB87-826608476CE5}"/>
    <cellStyle name="Note 3 2 6 3" xfId="6149" xr:uid="{00000000-0005-0000-0000-00009E210000}"/>
    <cellStyle name="Note 3 2 6 3 2" xfId="15475" xr:uid="{DDE90BF7-9CF4-4B7E-BA6B-7CE519515F49}"/>
    <cellStyle name="Note 3 2 6 4" xfId="11258" xr:uid="{FE7C3C2E-3FBF-445D-AABA-F1C614DA0B4B}"/>
    <cellStyle name="Note 3 2 7" xfId="2256" xr:uid="{00000000-0005-0000-0000-00009F210000}"/>
    <cellStyle name="Note 3 2 7 2" xfId="4485" xr:uid="{00000000-0005-0000-0000-0000A0210000}"/>
    <cellStyle name="Note 3 2 7 2 2" xfId="8707" xr:uid="{00000000-0005-0000-0000-0000A1210000}"/>
    <cellStyle name="Note 3 2 7 2 2 2" xfId="18033" xr:uid="{67CCEF1C-D63F-41AA-9734-7B558CDE6DB1}"/>
    <cellStyle name="Note 3 2 7 2 3" xfId="13816" xr:uid="{454097EA-6EA0-4DA2-A44B-2ED8C8DB3038}"/>
    <cellStyle name="Note 3 2 7 3" xfId="6562" xr:uid="{00000000-0005-0000-0000-0000A2210000}"/>
    <cellStyle name="Note 3 2 7 3 2" xfId="15888" xr:uid="{B7BFE43B-5F73-4AFC-B35A-8C0828A33722}"/>
    <cellStyle name="Note 3 2 7 4" xfId="11671" xr:uid="{3DBB20A1-C12E-4EB2-A45C-7690DE10D5C5}"/>
    <cellStyle name="Note 3 2 8" xfId="2692" xr:uid="{00000000-0005-0000-0000-0000A3210000}"/>
    <cellStyle name="Note 3 2 8 2" xfId="6975" xr:uid="{00000000-0005-0000-0000-0000A4210000}"/>
    <cellStyle name="Note 3 2 8 2 2" xfId="16301" xr:uid="{C75C7E81-AF7C-4016-AFAD-FE5AAAECEF1D}"/>
    <cellStyle name="Note 3 2 8 3" xfId="12084" xr:uid="{16D7E39F-A8A7-43CB-8663-FFC3AF11A229}"/>
    <cellStyle name="Note 3 2 9" xfId="2751" xr:uid="{00000000-0005-0000-0000-0000A5210000}"/>
    <cellStyle name="Note 3 3" xfId="558" xr:uid="{00000000-0005-0000-0000-0000A6210000}"/>
    <cellStyle name="Note 3 3 10" xfId="4914" xr:uid="{00000000-0005-0000-0000-0000A7210000}"/>
    <cellStyle name="Note 3 3 10 2" xfId="14240" xr:uid="{1DD65D4C-AF0F-470F-B00C-8CA7639AF832}"/>
    <cellStyle name="Note 3 3 11" xfId="8892" xr:uid="{8511F94A-7472-4DD0-A9AB-40754FEE5F47}"/>
    <cellStyle name="Note 3 3 11 2" xfId="18216" xr:uid="{65A7C321-96C3-4C89-9EA4-745C9AAE0130}"/>
    <cellStyle name="Note 3 3 12" xfId="10023" xr:uid="{0B94EB76-2E08-445B-8206-6A37D5162D63}"/>
    <cellStyle name="Note 3 3 2" xfId="559" xr:uid="{00000000-0005-0000-0000-0000A8210000}"/>
    <cellStyle name="Note 3 3 2 10" xfId="9099" xr:uid="{29F3AC20-D296-4B59-BA53-0A5C025B0569}"/>
    <cellStyle name="Note 3 3 2 10 2" xfId="18423" xr:uid="{236C46FE-374F-4702-9641-D1E23105A769}"/>
    <cellStyle name="Note 3 3 2 11" xfId="10024" xr:uid="{A9799322-1E82-40D1-82F0-317897B3A25F}"/>
    <cellStyle name="Note 3 3 2 2" xfId="1019" xr:uid="{00000000-0005-0000-0000-0000A9210000}"/>
    <cellStyle name="Note 3 3 2 2 2" xfId="3251" xr:uid="{00000000-0005-0000-0000-0000AA210000}"/>
    <cellStyle name="Note 3 3 2 2 2 2" xfId="7473" xr:uid="{00000000-0005-0000-0000-0000AB210000}"/>
    <cellStyle name="Note 3 3 2 2 2 2 2" xfId="16799" xr:uid="{69834CB7-D0B0-430F-961A-626E986E5F60}"/>
    <cellStyle name="Note 3 3 2 2 2 3" xfId="12582" xr:uid="{0A43556B-063E-43E2-A641-ED71A4FF35F0}"/>
    <cellStyle name="Note 3 3 2 2 3" xfId="5328" xr:uid="{00000000-0005-0000-0000-0000AC210000}"/>
    <cellStyle name="Note 3 3 2 2 3 2" xfId="14654" xr:uid="{C19DFD9E-B7B4-49A1-840A-BB89F690A27F}"/>
    <cellStyle name="Note 3 3 2 2 4" xfId="9524" xr:uid="{D03F5DE7-D9AB-48C0-A1E3-0A929D2C18C5}"/>
    <cellStyle name="Note 3 3 2 2 4 2" xfId="18839" xr:uid="{315E7AB3-3DB9-4AA1-AE6C-7CB46C5D0B96}"/>
    <cellStyle name="Note 3 3 2 2 5" xfId="10437" xr:uid="{494E4B3D-F66D-4BA3-BD70-BCA8D995B1B5}"/>
    <cellStyle name="Note 3 3 2 3" xfId="1434" xr:uid="{00000000-0005-0000-0000-0000AD210000}"/>
    <cellStyle name="Note 3 3 2 3 2" xfId="3664" xr:uid="{00000000-0005-0000-0000-0000AE210000}"/>
    <cellStyle name="Note 3 3 2 3 2 2" xfId="7886" xr:uid="{00000000-0005-0000-0000-0000AF210000}"/>
    <cellStyle name="Note 3 3 2 3 2 2 2" xfId="17212" xr:uid="{A30CF562-C296-4D3E-8065-7BFE3F17F584}"/>
    <cellStyle name="Note 3 3 2 3 2 3" xfId="12995" xr:uid="{2ADA56B3-358E-48A2-BF2C-EA32142C3446}"/>
    <cellStyle name="Note 3 3 2 3 3" xfId="5741" xr:uid="{00000000-0005-0000-0000-0000B0210000}"/>
    <cellStyle name="Note 3 3 2 3 3 2" xfId="15067" xr:uid="{4E2CE54B-9C0B-4CB0-9E13-B63B8841D97C}"/>
    <cellStyle name="Note 3 3 2 3 4" xfId="10850" xr:uid="{10171016-0135-4A32-9644-571CEA0748B4}"/>
    <cellStyle name="Note 3 3 2 4" xfId="1848" xr:uid="{00000000-0005-0000-0000-0000B1210000}"/>
    <cellStyle name="Note 3 3 2 4 2" xfId="4077" xr:uid="{00000000-0005-0000-0000-0000B2210000}"/>
    <cellStyle name="Note 3 3 2 4 2 2" xfId="8299" xr:uid="{00000000-0005-0000-0000-0000B3210000}"/>
    <cellStyle name="Note 3 3 2 4 2 2 2" xfId="17625" xr:uid="{B38456A6-8B3D-42B2-8521-882E32E602BC}"/>
    <cellStyle name="Note 3 3 2 4 2 3" xfId="13408" xr:uid="{318FDE6C-D556-4080-98F2-67A242E4A9E9}"/>
    <cellStyle name="Note 3 3 2 4 3" xfId="6154" xr:uid="{00000000-0005-0000-0000-0000B4210000}"/>
    <cellStyle name="Note 3 3 2 4 3 2" xfId="15480" xr:uid="{C25B964F-3E7B-48E3-BFE8-75B890653240}"/>
    <cellStyle name="Note 3 3 2 4 4" xfId="11263" xr:uid="{EDACEADC-F18D-4CD1-8238-E81E853934E5}"/>
    <cellStyle name="Note 3 3 2 5" xfId="2261" xr:uid="{00000000-0005-0000-0000-0000B5210000}"/>
    <cellStyle name="Note 3 3 2 5 2" xfId="4490" xr:uid="{00000000-0005-0000-0000-0000B6210000}"/>
    <cellStyle name="Note 3 3 2 5 2 2" xfId="8712" xr:uid="{00000000-0005-0000-0000-0000B7210000}"/>
    <cellStyle name="Note 3 3 2 5 2 2 2" xfId="18038" xr:uid="{56C3A2CC-30E0-489B-9F4C-4D85B2427129}"/>
    <cellStyle name="Note 3 3 2 5 2 3" xfId="13821" xr:uid="{7964C0EF-D3EE-4B87-BE3A-4333D7A46BAF}"/>
    <cellStyle name="Note 3 3 2 5 3" xfId="6567" xr:uid="{00000000-0005-0000-0000-0000B8210000}"/>
    <cellStyle name="Note 3 3 2 5 3 2" xfId="15893" xr:uid="{94370F0B-D8F8-4C6B-BF96-435F2DB0F5C6}"/>
    <cellStyle name="Note 3 3 2 5 4" xfId="11676" xr:uid="{1FB4A77E-5AAC-40F0-BDFD-6D0346BAC51A}"/>
    <cellStyle name="Note 3 3 2 6" xfId="2697" xr:uid="{00000000-0005-0000-0000-0000B9210000}"/>
    <cellStyle name="Note 3 3 2 6 2" xfId="6980" xr:uid="{00000000-0005-0000-0000-0000BA210000}"/>
    <cellStyle name="Note 3 3 2 6 2 2" xfId="16306" xr:uid="{38AC8203-12C2-430E-A829-76939AA111B9}"/>
    <cellStyle name="Note 3 3 2 6 3" xfId="12089" xr:uid="{D0F43B16-3852-4F01-A906-2B4EBEC00980}"/>
    <cellStyle name="Note 3 3 2 7" xfId="2756" xr:uid="{00000000-0005-0000-0000-0000BB210000}"/>
    <cellStyle name="Note 3 3 2 8" xfId="2837" xr:uid="{00000000-0005-0000-0000-0000BC210000}"/>
    <cellStyle name="Note 3 3 2 8 2" xfId="7060" xr:uid="{00000000-0005-0000-0000-0000BD210000}"/>
    <cellStyle name="Note 3 3 2 8 2 2" xfId="16386" xr:uid="{EE6147AA-BF78-46D7-B1C5-C82C6997482F}"/>
    <cellStyle name="Note 3 3 2 8 3" xfId="12169" xr:uid="{D24D99E9-8D5C-464C-AF27-81CBAF4173BE}"/>
    <cellStyle name="Note 3 3 2 9" xfId="4915" xr:uid="{00000000-0005-0000-0000-0000BE210000}"/>
    <cellStyle name="Note 3 3 2 9 2" xfId="14241" xr:uid="{21C962D2-8516-41F2-A97F-C93A80801BCB}"/>
    <cellStyle name="Note 3 3 3" xfId="1018" xr:uid="{00000000-0005-0000-0000-0000BF210000}"/>
    <cellStyle name="Note 3 3 3 2" xfId="3250" xr:uid="{00000000-0005-0000-0000-0000C0210000}"/>
    <cellStyle name="Note 3 3 3 2 2" xfId="7472" xr:uid="{00000000-0005-0000-0000-0000C1210000}"/>
    <cellStyle name="Note 3 3 3 2 2 2" xfId="16798" xr:uid="{A104F384-8C30-43EC-AA1C-79BF69EC7F08}"/>
    <cellStyle name="Note 3 3 3 2 3" xfId="12581" xr:uid="{FA7A4AA1-C650-4344-A006-769B7D91747E}"/>
    <cellStyle name="Note 3 3 3 3" xfId="5327" xr:uid="{00000000-0005-0000-0000-0000C2210000}"/>
    <cellStyle name="Note 3 3 3 3 2" xfId="14653" xr:uid="{4D14C2D9-E15B-4EA4-BD11-5DEB5F769BD7}"/>
    <cellStyle name="Note 3 3 3 4" xfId="9317" xr:uid="{171D8024-554D-4F15-BFD3-81CBE1A601EA}"/>
    <cellStyle name="Note 3 3 3 4 2" xfId="18632" xr:uid="{3123A8A7-DF19-4432-A15C-699A42A0FEB6}"/>
    <cellStyle name="Note 3 3 3 5" xfId="10436" xr:uid="{832A4B3A-7EA7-4B23-9318-A3C085BA58B3}"/>
    <cellStyle name="Note 3 3 4" xfId="1433" xr:uid="{00000000-0005-0000-0000-0000C3210000}"/>
    <cellStyle name="Note 3 3 4 2" xfId="3663" xr:uid="{00000000-0005-0000-0000-0000C4210000}"/>
    <cellStyle name="Note 3 3 4 2 2" xfId="7885" xr:uid="{00000000-0005-0000-0000-0000C5210000}"/>
    <cellStyle name="Note 3 3 4 2 2 2" xfId="17211" xr:uid="{3FCCD9CB-A795-4B49-9AB7-1433A6C03891}"/>
    <cellStyle name="Note 3 3 4 2 3" xfId="12994" xr:uid="{2FDD844C-2050-493E-824B-29550C73643C}"/>
    <cellStyle name="Note 3 3 4 3" xfId="5740" xr:uid="{00000000-0005-0000-0000-0000C6210000}"/>
    <cellStyle name="Note 3 3 4 3 2" xfId="15066" xr:uid="{9A83F730-767C-4F44-B135-57EA8EB05303}"/>
    <cellStyle name="Note 3 3 4 4" xfId="10849" xr:uid="{52EA22C6-FAE3-48C9-B256-3E25CE6530F4}"/>
    <cellStyle name="Note 3 3 5" xfId="1847" xr:uid="{00000000-0005-0000-0000-0000C7210000}"/>
    <cellStyle name="Note 3 3 5 2" xfId="4076" xr:uid="{00000000-0005-0000-0000-0000C8210000}"/>
    <cellStyle name="Note 3 3 5 2 2" xfId="8298" xr:uid="{00000000-0005-0000-0000-0000C9210000}"/>
    <cellStyle name="Note 3 3 5 2 2 2" xfId="17624" xr:uid="{846EF968-1CE9-4571-AFEA-34C3BAA0F0B2}"/>
    <cellStyle name="Note 3 3 5 2 3" xfId="13407" xr:uid="{30FB2B2E-90D1-41DF-993F-68FBE1F33BFF}"/>
    <cellStyle name="Note 3 3 5 3" xfId="6153" xr:uid="{00000000-0005-0000-0000-0000CA210000}"/>
    <cellStyle name="Note 3 3 5 3 2" xfId="15479" xr:uid="{C52EF03D-89E4-432C-AE33-414F0DAD068A}"/>
    <cellStyle name="Note 3 3 5 4" xfId="11262" xr:uid="{412D9499-BB66-49EF-8BDF-6D689751324D}"/>
    <cellStyle name="Note 3 3 6" xfId="2260" xr:uid="{00000000-0005-0000-0000-0000CB210000}"/>
    <cellStyle name="Note 3 3 6 2" xfId="4489" xr:uid="{00000000-0005-0000-0000-0000CC210000}"/>
    <cellStyle name="Note 3 3 6 2 2" xfId="8711" xr:uid="{00000000-0005-0000-0000-0000CD210000}"/>
    <cellStyle name="Note 3 3 6 2 2 2" xfId="18037" xr:uid="{1A3DD072-ED18-4B44-9A2D-DE874144CAC2}"/>
    <cellStyle name="Note 3 3 6 2 3" xfId="13820" xr:uid="{9A298386-F3DD-4D5F-9B75-6F75AF350BC9}"/>
    <cellStyle name="Note 3 3 6 3" xfId="6566" xr:uid="{00000000-0005-0000-0000-0000CE210000}"/>
    <cellStyle name="Note 3 3 6 3 2" xfId="15892" xr:uid="{D2698C98-C875-4089-B491-FFA51FB0AD7D}"/>
    <cellStyle name="Note 3 3 6 4" xfId="11675" xr:uid="{99474344-AFAE-4594-A7F1-81F322B3FAE6}"/>
    <cellStyle name="Note 3 3 7" xfId="2696" xr:uid="{00000000-0005-0000-0000-0000CF210000}"/>
    <cellStyle name="Note 3 3 7 2" xfId="6979" xr:uid="{00000000-0005-0000-0000-0000D0210000}"/>
    <cellStyle name="Note 3 3 7 2 2" xfId="16305" xr:uid="{0CF9F5D3-A2A8-4A49-961C-A75D0BE2F736}"/>
    <cellStyle name="Note 3 3 7 3" xfId="12088" xr:uid="{5844C94D-D5F3-4D69-A997-4ACE5B9FA5BC}"/>
    <cellStyle name="Note 3 3 8" xfId="2755" xr:uid="{00000000-0005-0000-0000-0000D1210000}"/>
    <cellStyle name="Note 3 3 9" xfId="2836" xr:uid="{00000000-0005-0000-0000-0000D2210000}"/>
    <cellStyle name="Note 3 3 9 2" xfId="7059" xr:uid="{00000000-0005-0000-0000-0000D3210000}"/>
    <cellStyle name="Note 3 3 9 2 2" xfId="16385" xr:uid="{49DDF2E4-65C6-46CA-AC44-8DE02907E678}"/>
    <cellStyle name="Note 3 3 9 3" xfId="12168" xr:uid="{304A579B-B10D-4DA4-8718-9300CFFB1196}"/>
    <cellStyle name="Note 3 4" xfId="560" xr:uid="{00000000-0005-0000-0000-0000D4210000}"/>
    <cellStyle name="Note 3 4 10" xfId="8996" xr:uid="{0D704BEA-0820-4E61-9EA3-F4C1E73C6543}"/>
    <cellStyle name="Note 3 4 10 2" xfId="18320" xr:uid="{BE369C13-2E82-467B-A3CB-0219CCCCC07D}"/>
    <cellStyle name="Note 3 4 11" xfId="10025" xr:uid="{4D75DE61-8B51-4157-8AC7-372E6EA2F1CE}"/>
    <cellStyle name="Note 3 4 2" xfId="1020" xr:uid="{00000000-0005-0000-0000-0000D5210000}"/>
    <cellStyle name="Note 3 4 2 2" xfId="3252" xr:uid="{00000000-0005-0000-0000-0000D6210000}"/>
    <cellStyle name="Note 3 4 2 2 2" xfId="7474" xr:uid="{00000000-0005-0000-0000-0000D7210000}"/>
    <cellStyle name="Note 3 4 2 2 2 2" xfId="16800" xr:uid="{01288AE4-4349-4326-827C-88BB03A57B0F}"/>
    <cellStyle name="Note 3 4 2 2 3" xfId="12583" xr:uid="{D250602E-9D5E-49C3-9A25-1B60070CFBA3}"/>
    <cellStyle name="Note 3 4 2 3" xfId="5329" xr:uid="{00000000-0005-0000-0000-0000D8210000}"/>
    <cellStyle name="Note 3 4 2 3 2" xfId="14655" xr:uid="{3A903A41-F671-43F0-9C81-03F6D9331B4E}"/>
    <cellStyle name="Note 3 4 2 4" xfId="9421" xr:uid="{EC0A57E0-416C-4EC5-866A-A09E44531CB5}"/>
    <cellStyle name="Note 3 4 2 4 2" xfId="18736" xr:uid="{D7B2F862-F882-4FE3-9475-EB12BDE3B148}"/>
    <cellStyle name="Note 3 4 2 5" xfId="10438" xr:uid="{1A09D801-D96C-4C0E-9773-AB696A1B665D}"/>
    <cellStyle name="Note 3 4 3" xfId="1435" xr:uid="{00000000-0005-0000-0000-0000D9210000}"/>
    <cellStyle name="Note 3 4 3 2" xfId="3665" xr:uid="{00000000-0005-0000-0000-0000DA210000}"/>
    <cellStyle name="Note 3 4 3 2 2" xfId="7887" xr:uid="{00000000-0005-0000-0000-0000DB210000}"/>
    <cellStyle name="Note 3 4 3 2 2 2" xfId="17213" xr:uid="{97D0966C-6489-40BF-B6CE-A566CC04F627}"/>
    <cellStyle name="Note 3 4 3 2 3" xfId="12996" xr:uid="{50C5B592-AEA2-40D8-9292-4DFAC110F0DF}"/>
    <cellStyle name="Note 3 4 3 3" xfId="5742" xr:uid="{00000000-0005-0000-0000-0000DC210000}"/>
    <cellStyle name="Note 3 4 3 3 2" xfId="15068" xr:uid="{C9A7978C-85AC-4DBF-AC29-0751803EA4AD}"/>
    <cellStyle name="Note 3 4 3 4" xfId="10851" xr:uid="{5C6AEC85-0137-49FD-A1E1-D97BAB997056}"/>
    <cellStyle name="Note 3 4 4" xfId="1849" xr:uid="{00000000-0005-0000-0000-0000DD210000}"/>
    <cellStyle name="Note 3 4 4 2" xfId="4078" xr:uid="{00000000-0005-0000-0000-0000DE210000}"/>
    <cellStyle name="Note 3 4 4 2 2" xfId="8300" xr:uid="{00000000-0005-0000-0000-0000DF210000}"/>
    <cellStyle name="Note 3 4 4 2 2 2" xfId="17626" xr:uid="{7FBD79E5-2EBA-402A-9BE0-9FBFA2DE2AD6}"/>
    <cellStyle name="Note 3 4 4 2 3" xfId="13409" xr:uid="{CF7614BC-D2BD-4468-83D4-390EE0EBE2F1}"/>
    <cellStyle name="Note 3 4 4 3" xfId="6155" xr:uid="{00000000-0005-0000-0000-0000E0210000}"/>
    <cellStyle name="Note 3 4 4 3 2" xfId="15481" xr:uid="{5CC77583-7689-405F-AC40-A8660A054EC2}"/>
    <cellStyle name="Note 3 4 4 4" xfId="11264" xr:uid="{C555ECEE-FDD2-45CE-83A6-4738A5DC8E53}"/>
    <cellStyle name="Note 3 4 5" xfId="2262" xr:uid="{00000000-0005-0000-0000-0000E1210000}"/>
    <cellStyle name="Note 3 4 5 2" xfId="4491" xr:uid="{00000000-0005-0000-0000-0000E2210000}"/>
    <cellStyle name="Note 3 4 5 2 2" xfId="8713" xr:uid="{00000000-0005-0000-0000-0000E3210000}"/>
    <cellStyle name="Note 3 4 5 2 2 2" xfId="18039" xr:uid="{4EE83F75-7378-4756-A268-F719D7BA799C}"/>
    <cellStyle name="Note 3 4 5 2 3" xfId="13822" xr:uid="{B7EC0ECB-D026-4227-9730-8E633D46CB19}"/>
    <cellStyle name="Note 3 4 5 3" xfId="6568" xr:uid="{00000000-0005-0000-0000-0000E4210000}"/>
    <cellStyle name="Note 3 4 5 3 2" xfId="15894" xr:uid="{0DC446F9-80A7-4B88-8C33-54E66650B27C}"/>
    <cellStyle name="Note 3 4 5 4" xfId="11677" xr:uid="{D60F1538-B070-4D95-8E43-53AE31869F6D}"/>
    <cellStyle name="Note 3 4 6" xfId="2698" xr:uid="{00000000-0005-0000-0000-0000E5210000}"/>
    <cellStyle name="Note 3 4 6 2" xfId="6981" xr:uid="{00000000-0005-0000-0000-0000E6210000}"/>
    <cellStyle name="Note 3 4 6 2 2" xfId="16307" xr:uid="{942A270F-4E14-40E1-A6B2-03F2EB8D3126}"/>
    <cellStyle name="Note 3 4 6 3" xfId="12090" xr:uid="{B79A3255-D691-4D68-BF3F-7F0135F8D07E}"/>
    <cellStyle name="Note 3 4 7" xfId="2757" xr:uid="{00000000-0005-0000-0000-0000E7210000}"/>
    <cellStyle name="Note 3 4 8" xfId="2838" xr:uid="{00000000-0005-0000-0000-0000E8210000}"/>
    <cellStyle name="Note 3 4 8 2" xfId="7061" xr:uid="{00000000-0005-0000-0000-0000E9210000}"/>
    <cellStyle name="Note 3 4 8 2 2" xfId="16387" xr:uid="{497957DF-14E5-438B-80ED-18E10E1DB98A}"/>
    <cellStyle name="Note 3 4 8 3" xfId="12170" xr:uid="{A0117AFD-9533-4B53-91FF-F8304B532B59}"/>
    <cellStyle name="Note 3 4 9" xfId="4916" xr:uid="{00000000-0005-0000-0000-0000EA210000}"/>
    <cellStyle name="Note 3 4 9 2" xfId="14242" xr:uid="{0F8DFE41-A5C9-4419-A238-9EEA0F012D29}"/>
    <cellStyle name="Note 3 5" xfId="561" xr:uid="{00000000-0005-0000-0000-0000EB210000}"/>
    <cellStyle name="Note 3 5 10" xfId="9213" xr:uid="{D9D7FB9A-B03C-4A97-A778-36731B43DF3F}"/>
    <cellStyle name="Note 3 5 10 2" xfId="18529" xr:uid="{D5CE5371-56B6-40D3-B99D-87D7783B3B31}"/>
    <cellStyle name="Note 3 5 11" xfId="10026" xr:uid="{1C1ADF37-1A68-4BAA-A166-9AC5C8F66076}"/>
    <cellStyle name="Note 3 5 2" xfId="1021" xr:uid="{00000000-0005-0000-0000-0000EC210000}"/>
    <cellStyle name="Note 3 5 2 2" xfId="3253" xr:uid="{00000000-0005-0000-0000-0000ED210000}"/>
    <cellStyle name="Note 3 5 2 2 2" xfId="7475" xr:uid="{00000000-0005-0000-0000-0000EE210000}"/>
    <cellStyle name="Note 3 5 2 2 2 2" xfId="16801" xr:uid="{055F8CD8-054F-4FA4-BAB5-DE83EAD33590}"/>
    <cellStyle name="Note 3 5 2 2 3" xfId="12584" xr:uid="{9C218723-79C2-4EDA-84BF-B2ECDB79C979}"/>
    <cellStyle name="Note 3 5 2 3" xfId="5330" xr:uid="{00000000-0005-0000-0000-0000EF210000}"/>
    <cellStyle name="Note 3 5 2 3 2" xfId="14656" xr:uid="{F3C74C3D-58D8-403C-9124-178F50E251DC}"/>
    <cellStyle name="Note 3 5 2 4" xfId="9611" xr:uid="{74765414-66B3-4FDA-BA21-3BFFEF98E338}"/>
    <cellStyle name="Note 3 5 2 4 2" xfId="18911" xr:uid="{154C8E8D-A163-4E51-8901-AD94692E690C}"/>
    <cellStyle name="Note 3 5 2 5" xfId="10439" xr:uid="{8AB26EC8-3175-453D-B3B1-70A973E11AE5}"/>
    <cellStyle name="Note 3 5 3" xfId="1436" xr:uid="{00000000-0005-0000-0000-0000F0210000}"/>
    <cellStyle name="Note 3 5 3 2" xfId="3666" xr:uid="{00000000-0005-0000-0000-0000F1210000}"/>
    <cellStyle name="Note 3 5 3 2 2" xfId="7888" xr:uid="{00000000-0005-0000-0000-0000F2210000}"/>
    <cellStyle name="Note 3 5 3 2 2 2" xfId="17214" xr:uid="{84F3DDDD-21CC-470E-AB75-B6DDDC8893F9}"/>
    <cellStyle name="Note 3 5 3 2 3" xfId="12997" xr:uid="{2E0B7342-2F43-432F-A787-45E239564503}"/>
    <cellStyle name="Note 3 5 3 3" xfId="5743" xr:uid="{00000000-0005-0000-0000-0000F3210000}"/>
    <cellStyle name="Note 3 5 3 3 2" xfId="15069" xr:uid="{990E1090-CE09-483A-A3AF-55A5E3100278}"/>
    <cellStyle name="Note 3 5 3 4" xfId="10852" xr:uid="{3C3FB44C-E140-46CA-85E3-2F1987B689B0}"/>
    <cellStyle name="Note 3 5 4" xfId="1850" xr:uid="{00000000-0005-0000-0000-0000F4210000}"/>
    <cellStyle name="Note 3 5 4 2" xfId="4079" xr:uid="{00000000-0005-0000-0000-0000F5210000}"/>
    <cellStyle name="Note 3 5 4 2 2" xfId="8301" xr:uid="{00000000-0005-0000-0000-0000F6210000}"/>
    <cellStyle name="Note 3 5 4 2 2 2" xfId="17627" xr:uid="{A5981EDB-3388-433B-AE21-770E59509208}"/>
    <cellStyle name="Note 3 5 4 2 3" xfId="13410" xr:uid="{2E404AEE-8987-4DDF-AB3C-2A733D9568C7}"/>
    <cellStyle name="Note 3 5 4 3" xfId="6156" xr:uid="{00000000-0005-0000-0000-0000F7210000}"/>
    <cellStyle name="Note 3 5 4 3 2" xfId="15482" xr:uid="{8DCE4F81-59A8-41DD-8831-D9672C8A3A81}"/>
    <cellStyle name="Note 3 5 4 4" xfId="11265" xr:uid="{0F631346-6B1D-47B0-9D95-DE18F3FCE9FB}"/>
    <cellStyle name="Note 3 5 5" xfId="2263" xr:uid="{00000000-0005-0000-0000-0000F8210000}"/>
    <cellStyle name="Note 3 5 5 2" xfId="4492" xr:uid="{00000000-0005-0000-0000-0000F9210000}"/>
    <cellStyle name="Note 3 5 5 2 2" xfId="8714" xr:uid="{00000000-0005-0000-0000-0000FA210000}"/>
    <cellStyle name="Note 3 5 5 2 2 2" xfId="18040" xr:uid="{5CD1569E-EEB4-4947-AB12-9841E13BB720}"/>
    <cellStyle name="Note 3 5 5 2 3" xfId="13823" xr:uid="{C86D79BB-0E4E-42BC-ADE2-58AC50E5A55F}"/>
    <cellStyle name="Note 3 5 5 3" xfId="6569" xr:uid="{00000000-0005-0000-0000-0000FB210000}"/>
    <cellStyle name="Note 3 5 5 3 2" xfId="15895" xr:uid="{665D4128-5C57-4E06-9F43-671C75B5C1CA}"/>
    <cellStyle name="Note 3 5 5 4" xfId="11678" xr:uid="{8A96C381-C75E-482C-8473-B8B945332D5D}"/>
    <cellStyle name="Note 3 5 6" xfId="2699" xr:uid="{00000000-0005-0000-0000-0000FC210000}"/>
    <cellStyle name="Note 3 5 6 2" xfId="6982" xr:uid="{00000000-0005-0000-0000-0000FD210000}"/>
    <cellStyle name="Note 3 5 6 2 2" xfId="16308" xr:uid="{4B5801E6-B6FC-4BC1-951D-714CCE3E57D2}"/>
    <cellStyle name="Note 3 5 6 3" xfId="12091" xr:uid="{219B37E1-9F0A-451E-8F32-D91CA6BF7928}"/>
    <cellStyle name="Note 3 5 7" xfId="2758" xr:uid="{00000000-0005-0000-0000-0000FE210000}"/>
    <cellStyle name="Note 3 5 8" xfId="2839" xr:uid="{00000000-0005-0000-0000-0000FF210000}"/>
    <cellStyle name="Note 3 5 8 2" xfId="7062" xr:uid="{00000000-0005-0000-0000-000000220000}"/>
    <cellStyle name="Note 3 5 8 2 2" xfId="16388" xr:uid="{B1745422-96E0-4792-BAE4-0D133B1C2E82}"/>
    <cellStyle name="Note 3 5 8 3" xfId="12171" xr:uid="{18CFF4CF-CF6C-4685-A8F3-9D1B46E24652}"/>
    <cellStyle name="Note 3 5 9" xfId="4917" xr:uid="{00000000-0005-0000-0000-000001220000}"/>
    <cellStyle name="Note 3 5 9 2" xfId="14243" xr:uid="{FD420D5A-F23B-44D6-9815-305DD8737516}"/>
    <cellStyle name="Note 3 6" xfId="9588" xr:uid="{4A2A2C5B-BA67-4FBC-A2F1-7546BE1E0E7F}"/>
    <cellStyle name="Note 3 7" xfId="8789" xr:uid="{EE6BC007-A514-4F23-A927-A69B937DFEC6}"/>
    <cellStyle name="Note 3 7 2" xfId="18113" xr:uid="{3A5F3119-2E59-4564-BF98-13493080243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09F576E4-876C-4366-984F-FE7941373C34}"/>
    <cellStyle name="Percent 3 3" xfId="13826" xr:uid="{18B629A9-F4C5-426A-8616-C5488C2C156E}"/>
    <cellStyle name="Percent 4" xfId="4502" xr:uid="{00000000-0005-0000-0000-000007220000}"/>
    <cellStyle name="Percent 4 2" xfId="8717" xr:uid="{00000000-0005-0000-0000-000008220000}"/>
    <cellStyle name="Percent 4 2 2" xfId="18043" xr:uid="{D9BB183B-A9DA-4FD5-B77B-8B9B9CF16685}"/>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9EE1A793-FEAD-4B57-A253-E633BBEDA727}"/>
    <cellStyle name="Percent 4 3 2 2 2 2 3" xfId="18059" xr:uid="{E3000975-42BE-4E38-AB6B-161A8C02A6DC}"/>
    <cellStyle name="Percent 4 3 2 2 2 3" xfId="18056" xr:uid="{DA99962C-6A44-474B-8983-382F463204D0}"/>
    <cellStyle name="Percent 4 3 2 2 3" xfId="18052" xr:uid="{9595C7F8-2634-4A94-B128-F3B291609E0C}"/>
    <cellStyle name="Percent 4 3 2 3" xfId="18049" xr:uid="{24FC55A7-2B9F-4CCE-A9FE-8970216DF2F6}"/>
    <cellStyle name="Percent 4 3 3" xfId="18046" xr:uid="{429F092C-D06B-47CB-AE15-8D8833603FC1}"/>
    <cellStyle name="Percent 4 4" xfId="13829" xr:uid="{FD127B66-8012-4832-83D8-4D17FB5246B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400" t="s">
        <v>549</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row>
    <row r="2" spans="1:38" ht="13.5" thickBot="1">
      <c r="A2" s="1811"/>
      <c r="B2" s="1811"/>
      <c r="C2" s="1811"/>
      <c r="D2" s="1811"/>
      <c r="E2" s="1811"/>
      <c r="F2" s="1811"/>
      <c r="G2" s="1811"/>
      <c r="H2" s="1811"/>
      <c r="I2" s="1811"/>
      <c r="J2" s="1811"/>
      <c r="K2" s="1811"/>
      <c r="L2" s="1811"/>
      <c r="M2" s="1811"/>
      <c r="N2" s="1811"/>
      <c r="O2" s="1811"/>
      <c r="P2" s="1811"/>
      <c r="Q2" s="1811"/>
      <c r="R2" s="1811"/>
      <c r="S2" s="1811"/>
      <c r="T2" s="1811"/>
      <c r="U2" s="1811"/>
      <c r="V2" s="1811"/>
      <c r="W2" s="1811"/>
      <c r="X2" s="1811"/>
      <c r="Y2" s="1811"/>
      <c r="Z2" s="1811"/>
      <c r="AA2" s="1811"/>
      <c r="AB2" s="1811"/>
      <c r="AC2" s="1811"/>
      <c r="AD2" s="1811"/>
      <c r="AE2" s="1811"/>
      <c r="AF2" s="1811"/>
      <c r="AG2" s="1811"/>
      <c r="AH2" s="1811"/>
      <c r="AI2" s="1811"/>
      <c r="AJ2" s="1811"/>
      <c r="AK2" s="1811"/>
      <c r="AL2" s="181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9" t="s">
        <v>1991</v>
      </c>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455"/>
    </row>
    <row r="8" spans="1:38">
      <c r="A8" s="204"/>
      <c r="B8" s="204"/>
      <c r="C8" s="205"/>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455"/>
    </row>
    <row r="9" spans="1:38">
      <c r="A9" s="204"/>
      <c r="B9" s="204"/>
      <c r="C9" s="205"/>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79"/>
      <c r="AF9" s="1479"/>
      <c r="AG9" s="1479"/>
      <c r="AH9" s="1479"/>
      <c r="AI9" s="1479"/>
      <c r="AJ9" s="1479"/>
      <c r="AK9" s="147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9" t="s">
        <v>1992</v>
      </c>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79"/>
      <c r="AF11" s="1479"/>
      <c r="AG11" s="1479"/>
      <c r="AH11" s="1479"/>
      <c r="AI11" s="1479"/>
      <c r="AJ11" s="1479"/>
      <c r="AK11" s="1479"/>
      <c r="AL11" s="455"/>
    </row>
    <row r="12" spans="1:38">
      <c r="A12" s="204"/>
      <c r="B12" s="204"/>
      <c r="C12" s="205"/>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79"/>
      <c r="AF12" s="1479"/>
      <c r="AG12" s="1479"/>
      <c r="AH12" s="1479"/>
      <c r="AI12" s="1479"/>
      <c r="AJ12" s="1479"/>
      <c r="AK12" s="1479"/>
      <c r="AL12" s="455"/>
    </row>
    <row r="13" spans="1:38">
      <c r="A13" s="204"/>
      <c r="B13" s="204"/>
      <c r="C13" s="205"/>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79"/>
      <c r="AG13" s="1479"/>
      <c r="AH13" s="1479"/>
      <c r="AI13" s="1479"/>
      <c r="AJ13" s="1479"/>
      <c r="AK13" s="147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9" t="s">
        <v>2526</v>
      </c>
      <c r="E15" s="1479"/>
      <c r="F15" s="1479"/>
      <c r="G15" s="1479"/>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c r="AH15" s="1479"/>
      <c r="AI15" s="1479"/>
      <c r="AJ15" s="1479"/>
      <c r="AK15" s="1479"/>
      <c r="AL15" s="455"/>
    </row>
    <row r="16" spans="1:38" ht="13.15" customHeight="1">
      <c r="A16" s="204"/>
      <c r="B16" s="204"/>
      <c r="C16" s="205"/>
      <c r="D16" s="1479"/>
      <c r="E16" s="1479"/>
      <c r="F16" s="1479"/>
      <c r="G16" s="1479"/>
      <c r="H16" s="1479"/>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455"/>
    </row>
    <row r="17" spans="1:38">
      <c r="A17" s="204"/>
      <c r="B17" s="204"/>
      <c r="C17" s="205"/>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c r="AH17" s="1479"/>
      <c r="AI17" s="1479"/>
      <c r="AJ17" s="1479"/>
      <c r="AK17" s="1479"/>
      <c r="AL17" s="455"/>
    </row>
    <row r="18" spans="1:38">
      <c r="A18" s="204"/>
      <c r="B18" s="204"/>
      <c r="C18" s="205"/>
      <c r="D18" s="519" t="s">
        <v>2525</v>
      </c>
      <c r="E18" s="441"/>
      <c r="G18" s="441"/>
      <c r="H18" s="441"/>
      <c r="I18" s="441"/>
      <c r="J18" s="1813" t="s">
        <v>2524</v>
      </c>
      <c r="K18" s="1813"/>
      <c r="L18" s="1813"/>
      <c r="M18" s="1813"/>
      <c r="N18" s="1813"/>
      <c r="O18" s="1813"/>
      <c r="P18" s="1813"/>
      <c r="Q18" s="1813"/>
      <c r="R18" s="1813"/>
      <c r="S18" s="1813"/>
      <c r="T18" s="1813"/>
      <c r="U18" s="1813"/>
      <c r="V18" s="1813"/>
      <c r="W18" s="1813"/>
      <c r="X18" s="1813"/>
      <c r="Y18" s="1813"/>
      <c r="Z18" s="1813"/>
      <c r="AA18" s="1813"/>
      <c r="AB18" s="1813"/>
      <c r="AC18" s="1813"/>
      <c r="AD18" s="1813"/>
      <c r="AE18" s="1813"/>
      <c r="AF18" s="1813"/>
      <c r="AG18" s="1813"/>
      <c r="AH18" s="1813"/>
      <c r="AI18" s="1813"/>
      <c r="AJ18" s="1813"/>
      <c r="AK18" s="181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9" t="s">
        <v>1993</v>
      </c>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204"/>
    </row>
    <row r="21" spans="1:38">
      <c r="A21" s="204"/>
      <c r="B21" s="204"/>
      <c r="C21" s="205"/>
      <c r="D21" s="1479"/>
      <c r="E21" s="1479"/>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204"/>
    </row>
    <row r="22" spans="1:38">
      <c r="A22" s="204"/>
      <c r="B22" s="204"/>
      <c r="C22" s="205"/>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204"/>
    </row>
    <row r="23" spans="1:38" ht="13.15" customHeight="1">
      <c r="A23" s="204"/>
      <c r="B23" s="204"/>
      <c r="C23" s="205"/>
      <c r="D23" s="1479"/>
      <c r="E23" s="1479"/>
      <c r="F23" s="1479"/>
      <c r="G23" s="1479"/>
      <c r="H23" s="1479"/>
      <c r="I23" s="1479"/>
      <c r="J23" s="1479"/>
      <c r="K23" s="1479"/>
      <c r="L23" s="1479"/>
      <c r="M23" s="1479"/>
      <c r="N23" s="1479"/>
      <c r="O23" s="1479"/>
      <c r="P23" s="1479"/>
      <c r="Q23" s="1479"/>
      <c r="R23" s="1479"/>
      <c r="S23" s="1479"/>
      <c r="T23" s="1479"/>
      <c r="U23" s="1479"/>
      <c r="V23" s="1479"/>
      <c r="W23" s="1479"/>
      <c r="X23" s="1479"/>
      <c r="Y23" s="1479"/>
      <c r="Z23" s="1479"/>
      <c r="AA23" s="1479"/>
      <c r="AB23" s="1479"/>
      <c r="AC23" s="1479"/>
      <c r="AD23" s="1479"/>
      <c r="AE23" s="1479"/>
      <c r="AF23" s="1479"/>
      <c r="AG23" s="1479"/>
      <c r="AH23" s="1479"/>
      <c r="AI23" s="1479"/>
      <c r="AJ23" s="1479"/>
      <c r="AK23" s="1479"/>
      <c r="AL23" s="204"/>
    </row>
    <row r="24" spans="1:38">
      <c r="A24" s="204"/>
      <c r="B24" s="204"/>
      <c r="C24" s="205"/>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c r="AE24" s="1479"/>
      <c r="AF24" s="1479"/>
      <c r="AG24" s="1479"/>
      <c r="AH24" s="1479"/>
      <c r="AI24" s="1479"/>
      <c r="AJ24" s="1479"/>
      <c r="AK24" s="1479"/>
      <c r="AL24" s="204"/>
    </row>
    <row r="25" spans="1:38">
      <c r="A25" s="204"/>
      <c r="B25" s="204"/>
      <c r="C25" s="205"/>
      <c r="D25" s="1479"/>
      <c r="E25" s="1479"/>
      <c r="F25" s="1479"/>
      <c r="G25" s="1479"/>
      <c r="H25" s="1479"/>
      <c r="I25" s="1479"/>
      <c r="J25" s="1479"/>
      <c r="K25" s="1479"/>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204"/>
    </row>
    <row r="26" spans="1:38">
      <c r="A26" s="204"/>
      <c r="B26" s="204"/>
      <c r="C26" s="205"/>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1479"/>
      <c r="AE26" s="1479"/>
      <c r="AF26" s="1479"/>
      <c r="AG26" s="1479"/>
      <c r="AH26" s="1479"/>
      <c r="AI26" s="1479"/>
      <c r="AJ26" s="1479"/>
      <c r="AK26" s="1479"/>
      <c r="AL26" s="204"/>
    </row>
    <row r="27" spans="1:38">
      <c r="A27" s="204"/>
      <c r="B27" s="204"/>
      <c r="C27" s="205"/>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c r="AK27" s="1479"/>
      <c r="AL27" s="204"/>
    </row>
    <row r="28" spans="1:38">
      <c r="A28" s="204"/>
      <c r="B28" s="204"/>
      <c r="C28" s="205"/>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c r="AE28" s="1479"/>
      <c r="AF28" s="1479"/>
      <c r="AG28" s="1479"/>
      <c r="AH28" s="1479"/>
      <c r="AI28" s="1479"/>
      <c r="AJ28" s="1479"/>
      <c r="AK28" s="147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9" t="s">
        <v>1994</v>
      </c>
      <c r="E30" s="1479"/>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204"/>
    </row>
    <row r="31" spans="1:38">
      <c r="A31" s="204"/>
      <c r="B31" s="204"/>
      <c r="C31" s="205"/>
      <c r="D31" s="455"/>
      <c r="E31" s="1803" t="s">
        <v>2600</v>
      </c>
      <c r="F31" s="1804"/>
      <c r="G31" s="1804"/>
      <c r="H31" s="1804"/>
      <c r="I31" s="1804"/>
      <c r="J31" s="1804"/>
      <c r="K31" s="1804"/>
      <c r="L31" s="1804"/>
      <c r="M31" s="1804"/>
      <c r="N31" s="1804"/>
      <c r="O31" s="1804"/>
      <c r="P31" s="1804"/>
      <c r="Q31" s="1804"/>
      <c r="R31" s="1804"/>
      <c r="S31" s="1804"/>
      <c r="T31" s="1804"/>
      <c r="U31" s="1804"/>
      <c r="V31" s="1804"/>
      <c r="W31" s="1804"/>
      <c r="X31" s="1804"/>
      <c r="Y31" s="1804"/>
      <c r="Z31" s="1804"/>
      <c r="AA31" s="1804"/>
      <c r="AB31" s="1804"/>
      <c r="AC31" s="1804"/>
      <c r="AD31" s="1804"/>
      <c r="AE31" s="1804"/>
      <c r="AF31" s="1804"/>
      <c r="AG31" s="1804"/>
      <c r="AH31" s="1804"/>
      <c r="AI31" s="1804"/>
      <c r="AJ31" s="1804"/>
      <c r="AK31" s="1804"/>
      <c r="AL31" s="204"/>
    </row>
    <row r="32" spans="1:38">
      <c r="A32" s="4"/>
      <c r="C32" s="2"/>
    </row>
    <row r="33" spans="1:38">
      <c r="A33" s="4"/>
      <c r="D33" s="1812" t="s">
        <v>2094</v>
      </c>
      <c r="E33" s="1812"/>
      <c r="F33" s="1812"/>
      <c r="G33" s="1812"/>
      <c r="H33" s="1812"/>
      <c r="I33" s="1812"/>
      <c r="J33" s="1812"/>
      <c r="K33" s="1812"/>
      <c r="L33" s="1812"/>
      <c r="M33" s="1812"/>
      <c r="N33" s="1812"/>
      <c r="O33" s="1812"/>
      <c r="P33" s="1812"/>
      <c r="Q33" s="1812"/>
      <c r="R33" s="1812"/>
      <c r="S33" s="1812"/>
      <c r="T33" s="1812"/>
      <c r="U33" s="1812"/>
      <c r="V33" s="1812"/>
      <c r="W33" s="1812"/>
      <c r="X33" s="1812"/>
      <c r="Y33" s="1812"/>
      <c r="Z33" s="1812"/>
      <c r="AA33" s="1812"/>
      <c r="AB33" s="1812"/>
      <c r="AC33" s="1812"/>
      <c r="AD33" s="1812"/>
      <c r="AE33" s="1812"/>
      <c r="AF33" s="1812"/>
      <c r="AG33" s="1812"/>
      <c r="AH33" s="1812"/>
      <c r="AI33" s="1812"/>
      <c r="AJ33" s="1812"/>
      <c r="AK33" s="1812"/>
    </row>
    <row r="34" spans="1:38">
      <c r="A34" s="4"/>
      <c r="D34" s="1812"/>
      <c r="E34" s="1812"/>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12"/>
      <c r="AE34" s="1812"/>
      <c r="AF34" s="1812"/>
      <c r="AG34" s="1812"/>
      <c r="AH34" s="1812"/>
      <c r="AI34" s="1812"/>
      <c r="AJ34" s="1812"/>
      <c r="AK34" s="1812"/>
    </row>
    <row r="35" spans="1:38">
      <c r="A35" s="4"/>
      <c r="D35" s="120"/>
      <c r="E35" s="1808" t="s">
        <v>2601</v>
      </c>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4"/>
      <c r="D36" s="120"/>
      <c r="E36" s="1808" t="s">
        <v>2602</v>
      </c>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9" customFormat="1" ht="13.15" customHeight="1">
      <c r="A40" s="4"/>
      <c r="B40"/>
      <c r="C40" s="2"/>
      <c r="D40" s="4"/>
      <c r="E40" s="4" t="s">
        <v>652</v>
      </c>
      <c r="F40" s="1479" t="s">
        <v>1162</v>
      </c>
    </row>
    <row r="41" spans="1:38" s="1479"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11" t="s">
        <v>1244</v>
      </c>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row>
    <row r="44" spans="1:38" s="118" customFormat="1">
      <c r="A44" s="4"/>
      <c r="B44"/>
      <c r="C44" s="2"/>
      <c r="D44" s="4"/>
      <c r="E44" s="4"/>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row>
    <row r="45" spans="1:38" s="118" customFormat="1" ht="13.15" customHeight="1">
      <c r="A45" s="4"/>
      <c r="B45"/>
      <c r="C45" s="2"/>
      <c r="D45" s="4"/>
      <c r="E45" s="4"/>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row>
    <row r="46" spans="1:38">
      <c r="A46" s="4"/>
      <c r="C46" s="2"/>
      <c r="D46" s="4"/>
      <c r="E46" s="4"/>
      <c r="F46" s="118" t="s">
        <v>686</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479" t="s">
        <v>1996</v>
      </c>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row>
    <row r="49" spans="1:38">
      <c r="A49" s="4"/>
      <c r="C49" s="2"/>
      <c r="D49" s="4"/>
      <c r="E49" s="4"/>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row>
    <row r="50" spans="1:38">
      <c r="A50" s="4"/>
      <c r="C50" s="2"/>
      <c r="D50" s="4"/>
      <c r="F50" s="1479"/>
      <c r="G50" s="1479"/>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7" t="s">
        <v>1189</v>
      </c>
      <c r="H54" s="1807"/>
      <c r="I54" s="1807"/>
      <c r="J54" s="1807"/>
      <c r="K54" s="1807"/>
      <c r="L54" s="1807"/>
      <c r="M54" s="1807"/>
      <c r="N54" s="1807"/>
      <c r="O54" s="1807"/>
      <c r="P54" s="1807"/>
      <c r="Q54" s="1807"/>
      <c r="R54" s="1807"/>
      <c r="S54" s="1807"/>
      <c r="T54" s="1807"/>
      <c r="U54" s="1807"/>
      <c r="V54" s="1807"/>
      <c r="W54" s="1807"/>
      <c r="X54" s="1807"/>
      <c r="Y54" s="1807"/>
      <c r="Z54" s="1807"/>
      <c r="AA54" s="1807"/>
      <c r="AB54" s="1807"/>
      <c r="AC54" s="1807"/>
      <c r="AD54" s="1807"/>
      <c r="AE54" s="1807"/>
      <c r="AF54" s="1807"/>
      <c r="AG54" s="1807"/>
      <c r="AH54" s="1807"/>
      <c r="AI54" s="1807"/>
      <c r="AJ54" s="1807"/>
      <c r="AK54" s="1807"/>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7" t="s">
        <v>574</v>
      </c>
      <c r="H56" s="1807"/>
      <c r="I56" s="180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7" t="s">
        <v>1997</v>
      </c>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1807"/>
      <c r="AJ57" s="1807"/>
      <c r="AK57" s="1807"/>
      <c r="AL57" s="1807"/>
    </row>
    <row r="58" spans="1:38">
      <c r="A58" s="204"/>
      <c r="B58" s="204"/>
      <c r="C58" s="205"/>
      <c r="D58" s="205"/>
      <c r="E58" s="204"/>
      <c r="F58" s="206"/>
      <c r="G58" s="1807"/>
      <c r="H58" s="1807"/>
      <c r="I58" s="1807"/>
      <c r="J58" s="1807"/>
      <c r="K58" s="1807"/>
      <c r="L58" s="1807"/>
      <c r="M58" s="1807"/>
      <c r="N58" s="1807"/>
      <c r="O58" s="1807"/>
      <c r="P58" s="1807"/>
      <c r="Q58" s="1807"/>
      <c r="R58" s="1807"/>
      <c r="S58" s="1807"/>
      <c r="T58" s="1807"/>
      <c r="U58" s="1807"/>
      <c r="V58" s="1807"/>
      <c r="W58" s="1807"/>
      <c r="X58" s="1807"/>
      <c r="Y58" s="1807"/>
      <c r="Z58" s="1807"/>
      <c r="AA58" s="1807"/>
      <c r="AB58" s="1807"/>
      <c r="AC58" s="1807"/>
      <c r="AD58" s="1807"/>
      <c r="AE58" s="1807"/>
      <c r="AF58" s="1807"/>
      <c r="AG58" s="1807"/>
      <c r="AH58" s="1807"/>
      <c r="AI58" s="1807"/>
      <c r="AJ58" s="1807"/>
      <c r="AK58" s="1807"/>
      <c r="AL58" s="1807"/>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79" t="s">
        <v>1164</v>
      </c>
      <c r="H64" s="1479"/>
      <c r="I64" s="1479"/>
      <c r="J64" s="1479"/>
      <c r="K64" s="1479"/>
      <c r="L64" s="1479"/>
      <c r="M64" s="1479"/>
      <c r="N64" s="1479"/>
      <c r="O64" s="1479"/>
      <c r="P64" s="1479"/>
      <c r="Q64" s="1479"/>
      <c r="R64" s="1479"/>
      <c r="S64" s="1479"/>
      <c r="T64" s="1479"/>
      <c r="U64" s="1479"/>
      <c r="V64" s="1479"/>
      <c r="W64" s="1479"/>
      <c r="X64" s="1479"/>
      <c r="Y64" s="1479"/>
      <c r="Z64" s="1479"/>
      <c r="AA64" s="1479"/>
      <c r="AB64" s="1479"/>
      <c r="AC64" s="1479"/>
      <c r="AD64" s="1479"/>
      <c r="AE64" s="1479"/>
      <c r="AF64" s="1479"/>
      <c r="AG64" s="1479"/>
      <c r="AH64" s="1479"/>
      <c r="AI64" s="1479"/>
      <c r="AJ64" s="1479"/>
      <c r="AK64" s="1479"/>
    </row>
    <row r="65" spans="1:37">
      <c r="A65" s="4"/>
      <c r="C65" s="2"/>
      <c r="D65" s="4"/>
      <c r="E65" s="4"/>
      <c r="G65" s="1479"/>
      <c r="H65" s="1479"/>
      <c r="I65" s="1479"/>
      <c r="J65" s="1479"/>
      <c r="K65" s="1479"/>
      <c r="L65" s="1479"/>
      <c r="M65" s="1479"/>
      <c r="N65" s="1479"/>
      <c r="O65" s="1479"/>
      <c r="P65" s="1479"/>
      <c r="Q65" s="1479"/>
      <c r="R65" s="1479"/>
      <c r="S65" s="1479"/>
      <c r="T65" s="1479"/>
      <c r="U65" s="1479"/>
      <c r="V65" s="1479"/>
      <c r="W65" s="1479"/>
      <c r="X65" s="1479"/>
      <c r="Y65" s="1479"/>
      <c r="Z65" s="1479"/>
      <c r="AA65" s="1479"/>
      <c r="AB65" s="1479"/>
      <c r="AC65" s="1479"/>
      <c r="AD65" s="1479"/>
      <c r="AE65" s="1479"/>
      <c r="AF65" s="1479"/>
      <c r="AG65" s="1479"/>
      <c r="AH65" s="1479"/>
      <c r="AI65" s="1479"/>
      <c r="AJ65" s="1479"/>
      <c r="AK65" s="1479"/>
    </row>
    <row r="66" spans="1:37">
      <c r="A66" s="4"/>
      <c r="C66" s="2"/>
      <c r="D66" s="4"/>
      <c r="E66" s="4"/>
      <c r="G66" s="1479"/>
      <c r="H66" s="1479"/>
      <c r="I66" s="1479"/>
      <c r="J66" s="1479"/>
      <c r="K66" s="1479"/>
      <c r="L66" s="1479"/>
      <c r="M66" s="1479"/>
      <c r="N66" s="1479"/>
      <c r="O66" s="1479"/>
      <c r="P66" s="1479"/>
      <c r="Q66" s="1479"/>
      <c r="R66" s="1479"/>
      <c r="S66" s="1479"/>
      <c r="T66" s="1479"/>
      <c r="U66" s="1479"/>
      <c r="V66" s="1479"/>
      <c r="W66" s="1479"/>
      <c r="X66" s="1479"/>
      <c r="Y66" s="1479"/>
      <c r="Z66" s="1479"/>
      <c r="AA66" s="1479"/>
      <c r="AB66" s="1479"/>
      <c r="AC66" s="1479"/>
      <c r="AD66" s="1479"/>
      <c r="AE66" s="1479"/>
      <c r="AF66" s="1479"/>
      <c r="AG66" s="1479"/>
      <c r="AH66" s="1479"/>
      <c r="AI66" s="1479"/>
      <c r="AJ66" s="1479"/>
      <c r="AK66" s="1479"/>
    </row>
    <row r="67" spans="1:37" ht="13.15" customHeight="1">
      <c r="A67" s="4"/>
      <c r="C67" s="2"/>
      <c r="D67" s="4"/>
      <c r="E67" s="4"/>
      <c r="F67" t="s">
        <v>508</v>
      </c>
      <c r="G67" s="1479" t="s">
        <v>1165</v>
      </c>
      <c r="H67" s="1479"/>
      <c r="I67" s="1479"/>
      <c r="J67" s="1479"/>
      <c r="K67" s="1479"/>
      <c r="L67" s="1479"/>
      <c r="M67" s="1479"/>
      <c r="N67" s="1479"/>
      <c r="O67" s="1479"/>
      <c r="P67" s="1479"/>
      <c r="Q67" s="1479"/>
      <c r="R67" s="1479"/>
      <c r="S67" s="1479"/>
      <c r="T67" s="1479"/>
      <c r="U67" s="1479"/>
      <c r="V67" s="1479"/>
      <c r="W67" s="1479"/>
      <c r="X67" s="1479"/>
      <c r="Y67" s="1479"/>
      <c r="Z67" s="1479"/>
      <c r="AA67" s="1479"/>
      <c r="AB67" s="1479"/>
      <c r="AC67" s="1479"/>
      <c r="AD67" s="1479"/>
      <c r="AE67" s="1479"/>
      <c r="AF67" s="1479"/>
      <c r="AG67" s="1479"/>
      <c r="AH67" s="1479"/>
      <c r="AI67" s="1479"/>
      <c r="AJ67" s="1479"/>
      <c r="AK67" s="1479"/>
    </row>
    <row r="68" spans="1:37">
      <c r="A68" s="4"/>
      <c r="C68" s="2"/>
      <c r="D68" s="4"/>
      <c r="E68" s="4"/>
      <c r="F68" s="27"/>
      <c r="G68" s="1479"/>
      <c r="H68" s="1479"/>
      <c r="I68" s="1479"/>
      <c r="J68" s="1479"/>
      <c r="K68" s="1479"/>
      <c r="L68" s="1479"/>
      <c r="M68" s="1479"/>
      <c r="N68" s="1479"/>
      <c r="O68" s="1479"/>
      <c r="P68" s="1479"/>
      <c r="Q68" s="1479"/>
      <c r="R68" s="1479"/>
      <c r="S68" s="1479"/>
      <c r="T68" s="1479"/>
      <c r="U68" s="1479"/>
      <c r="V68" s="1479"/>
      <c r="W68" s="1479"/>
      <c r="X68" s="1479"/>
      <c r="Y68" s="1479"/>
      <c r="Z68" s="1479"/>
      <c r="AA68" s="1479"/>
      <c r="AB68" s="1479"/>
      <c r="AC68" s="1479"/>
      <c r="AD68" s="1479"/>
      <c r="AE68" s="1479"/>
      <c r="AF68" s="1479"/>
      <c r="AG68" s="1479"/>
      <c r="AH68" s="1479"/>
      <c r="AI68" s="1479"/>
      <c r="AJ68" s="1479"/>
      <c r="AK68" s="147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79" t="s">
        <v>1166</v>
      </c>
      <c r="H70" s="1479"/>
      <c r="I70" s="1479"/>
      <c r="J70" s="1479"/>
      <c r="K70" s="1479"/>
      <c r="L70" s="1479"/>
      <c r="M70" s="1479"/>
      <c r="N70" s="1479"/>
      <c r="O70" s="1479"/>
      <c r="P70" s="1479"/>
      <c r="Q70" s="1479"/>
      <c r="R70" s="1479"/>
      <c r="S70" s="1479"/>
      <c r="T70" s="1479"/>
      <c r="U70" s="1479"/>
      <c r="V70" s="1479"/>
      <c r="W70" s="1479"/>
      <c r="X70" s="1479"/>
      <c r="Y70" s="1479"/>
      <c r="Z70" s="1479"/>
      <c r="AA70" s="1479"/>
      <c r="AB70" s="1479"/>
      <c r="AC70" s="1479"/>
      <c r="AD70" s="1479"/>
      <c r="AE70" s="1479"/>
      <c r="AF70" s="1479"/>
      <c r="AG70" s="1479"/>
      <c r="AH70" s="1479"/>
      <c r="AI70" s="1479"/>
      <c r="AJ70" s="1479"/>
      <c r="AK70" s="1479"/>
    </row>
    <row r="71" spans="1:37">
      <c r="A71" s="4"/>
      <c r="C71" s="2"/>
      <c r="D71" s="4"/>
      <c r="E71" s="4"/>
      <c r="F71" s="8"/>
      <c r="G71" s="1479"/>
      <c r="H71" s="1479"/>
      <c r="I71" s="1479"/>
      <c r="J71" s="1479"/>
      <c r="K71" s="1479"/>
      <c r="L71" s="1479"/>
      <c r="M71" s="1479"/>
      <c r="N71" s="1479"/>
      <c r="O71" s="1479"/>
      <c r="P71" s="1479"/>
      <c r="Q71" s="1479"/>
      <c r="R71" s="1479"/>
      <c r="S71" s="1479"/>
      <c r="T71" s="1479"/>
      <c r="U71" s="1479"/>
      <c r="V71" s="1479"/>
      <c r="W71" s="1479"/>
      <c r="X71" s="1479"/>
      <c r="Y71" s="1479"/>
      <c r="Z71" s="1479"/>
      <c r="AA71" s="1479"/>
      <c r="AB71" s="1479"/>
      <c r="AC71" s="1479"/>
      <c r="AD71" s="1479"/>
      <c r="AE71" s="1479"/>
      <c r="AF71" s="1479"/>
      <c r="AG71" s="1479"/>
      <c r="AH71" s="1479"/>
      <c r="AI71" s="1479"/>
      <c r="AJ71" s="1479"/>
      <c r="AK71" s="1479"/>
    </row>
    <row r="72" spans="1:37">
      <c r="A72" s="4"/>
      <c r="C72" s="2"/>
      <c r="D72" s="4"/>
      <c r="E72" s="4"/>
      <c r="F72" s="8" t="s">
        <v>508</v>
      </c>
      <c r="G72" s="1479" t="s">
        <v>1167</v>
      </c>
      <c r="H72" s="1479"/>
      <c r="I72" s="1479"/>
      <c r="J72" s="1479"/>
      <c r="K72" s="1479"/>
      <c r="L72" s="1479"/>
      <c r="M72" s="1479"/>
      <c r="N72" s="1479"/>
      <c r="O72" s="1479"/>
      <c r="P72" s="1479"/>
      <c r="Q72" s="1479"/>
      <c r="R72" s="1479"/>
      <c r="S72" s="1479"/>
      <c r="T72" s="1479"/>
      <c r="U72" s="1479"/>
      <c r="V72" s="1479"/>
      <c r="W72" s="1479"/>
      <c r="X72" s="1479"/>
      <c r="Y72" s="1479"/>
      <c r="Z72" s="1479"/>
      <c r="AA72" s="1479"/>
      <c r="AB72" s="1479"/>
      <c r="AC72" s="1479"/>
      <c r="AD72" s="1479"/>
      <c r="AE72" s="1479"/>
      <c r="AF72" s="1479"/>
      <c r="AG72" s="1479"/>
      <c r="AH72" s="1479"/>
      <c r="AI72" s="1479"/>
      <c r="AJ72" s="1479"/>
      <c r="AK72" s="1479"/>
    </row>
    <row r="73" spans="1:37">
      <c r="A73" s="4"/>
      <c r="C73" s="2"/>
      <c r="D73" s="4"/>
      <c r="E73" s="4"/>
      <c r="F73" s="8"/>
      <c r="G73" s="1479"/>
      <c r="H73" s="1479"/>
      <c r="I73" s="1479"/>
      <c r="J73" s="1479"/>
      <c r="K73" s="1479"/>
      <c r="L73" s="1479"/>
      <c r="M73" s="1479"/>
      <c r="N73" s="1479"/>
      <c r="O73" s="1479"/>
      <c r="P73" s="1479"/>
      <c r="Q73" s="1479"/>
      <c r="R73" s="1479"/>
      <c r="S73" s="1479"/>
      <c r="T73" s="1479"/>
      <c r="U73" s="1479"/>
      <c r="V73" s="1479"/>
      <c r="W73" s="1479"/>
      <c r="X73" s="1479"/>
      <c r="Y73" s="1479"/>
      <c r="Z73" s="1479"/>
      <c r="AA73" s="1479"/>
      <c r="AB73" s="1479"/>
      <c r="AC73" s="1479"/>
      <c r="AD73" s="1479"/>
      <c r="AE73" s="1479"/>
      <c r="AF73" s="1479"/>
      <c r="AG73" s="1479"/>
      <c r="AH73" s="1479"/>
      <c r="AI73" s="1479"/>
      <c r="AJ73" s="1479"/>
      <c r="AK73" s="1479"/>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9" t="s">
        <v>1168</v>
      </c>
      <c r="H80" s="1479"/>
      <c r="I80" s="1479"/>
      <c r="J80" s="1479"/>
      <c r="K80" s="1479"/>
      <c r="L80" s="1479"/>
      <c r="M80" s="1479"/>
      <c r="N80" s="1479"/>
      <c r="O80" s="1479"/>
      <c r="P80" s="1479"/>
      <c r="Q80" s="1479"/>
      <c r="R80" s="1479"/>
      <c r="S80" s="1479"/>
      <c r="T80" s="1479"/>
      <c r="U80" s="1479"/>
      <c r="V80" s="1479"/>
      <c r="W80" s="1479"/>
      <c r="X80" s="1479"/>
      <c r="Y80" s="1479"/>
      <c r="Z80" s="1479"/>
      <c r="AA80" s="1479"/>
      <c r="AB80" s="1479"/>
      <c r="AC80" s="1479"/>
      <c r="AD80" s="1479"/>
      <c r="AE80" s="1479"/>
      <c r="AF80" s="1479"/>
      <c r="AG80" s="1479"/>
      <c r="AH80" s="1479"/>
      <c r="AI80" s="1479"/>
      <c r="AJ80" s="1479"/>
      <c r="AK80" s="1479"/>
    </row>
    <row r="81" spans="1:37">
      <c r="A81" s="4"/>
      <c r="C81" s="2"/>
      <c r="D81" s="4"/>
      <c r="E81" s="4"/>
      <c r="F81" s="4"/>
      <c r="G81" s="1479"/>
      <c r="H81" s="1479"/>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1479"/>
      <c r="AI81" s="1479"/>
      <c r="AJ81" s="1479"/>
      <c r="AK81" s="1479"/>
    </row>
    <row r="82" spans="1:37">
      <c r="A82" s="4"/>
      <c r="C82" s="2"/>
      <c r="D82" s="4"/>
      <c r="E82" s="4"/>
      <c r="F82" s="4"/>
      <c r="G82" s="1479"/>
      <c r="H82" s="1479"/>
      <c r="I82" s="1479"/>
      <c r="J82" s="1479"/>
      <c r="K82" s="1479"/>
      <c r="L82" s="1479"/>
      <c r="M82" s="1479"/>
      <c r="N82" s="1479"/>
      <c r="O82" s="1479"/>
      <c r="P82" s="1479"/>
      <c r="Q82" s="1479"/>
      <c r="R82" s="1479"/>
      <c r="S82" s="1479"/>
      <c r="T82" s="1479"/>
      <c r="U82" s="1479"/>
      <c r="V82" s="1479"/>
      <c r="W82" s="1479"/>
      <c r="X82" s="1479"/>
      <c r="Y82" s="1479"/>
      <c r="Z82" s="1479"/>
      <c r="AA82" s="1479"/>
      <c r="AB82" s="1479"/>
      <c r="AC82" s="1479"/>
      <c r="AD82" s="1479"/>
      <c r="AE82" s="1479"/>
      <c r="AF82" s="1479"/>
      <c r="AG82" s="1479"/>
      <c r="AH82" s="1479"/>
      <c r="AI82" s="1479"/>
      <c r="AJ82" s="1479"/>
      <c r="AK82" s="1479"/>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9" t="s">
        <v>1169</v>
      </c>
      <c r="H84" s="1479"/>
      <c r="I84" s="1479"/>
      <c r="J84" s="1479"/>
      <c r="K84" s="1479"/>
      <c r="L84" s="1479"/>
      <c r="M84" s="1479"/>
      <c r="N84" s="1479"/>
      <c r="O84" s="1479"/>
      <c r="P84" s="1479"/>
      <c r="Q84" s="1479"/>
      <c r="R84" s="1479"/>
      <c r="S84" s="1479"/>
      <c r="T84" s="1479"/>
      <c r="U84" s="1479"/>
      <c r="V84" s="1479"/>
      <c r="W84" s="1479"/>
      <c r="X84" s="1479"/>
      <c r="Y84" s="1479"/>
      <c r="Z84" s="1479"/>
      <c r="AA84" s="1479"/>
      <c r="AB84" s="1479"/>
      <c r="AC84" s="1479"/>
      <c r="AD84" s="1479"/>
      <c r="AE84" s="1479"/>
      <c r="AF84" s="1479"/>
      <c r="AG84" s="1479"/>
      <c r="AH84" s="1479"/>
      <c r="AI84" s="1479"/>
      <c r="AJ84" s="1479"/>
      <c r="AK84" s="1479"/>
    </row>
    <row r="85" spans="1:37">
      <c r="A85" s="4"/>
      <c r="C85" s="2"/>
      <c r="D85" s="4"/>
      <c r="E85" s="4"/>
      <c r="F85" s="4"/>
      <c r="G85" s="1479"/>
      <c r="H85" s="1479"/>
      <c r="I85" s="1479"/>
      <c r="J85" s="1479"/>
      <c r="K85" s="1479"/>
      <c r="L85" s="1479"/>
      <c r="M85" s="1479"/>
      <c r="N85" s="1479"/>
      <c r="O85" s="1479"/>
      <c r="P85" s="1479"/>
      <c r="Q85" s="1479"/>
      <c r="R85" s="1479"/>
      <c r="S85" s="1479"/>
      <c r="T85" s="1479"/>
      <c r="U85" s="1479"/>
      <c r="V85" s="1479"/>
      <c r="W85" s="1479"/>
      <c r="X85" s="1479"/>
      <c r="Y85" s="1479"/>
      <c r="Z85" s="1479"/>
      <c r="AA85" s="1479"/>
      <c r="AB85" s="1479"/>
      <c r="AC85" s="1479"/>
      <c r="AD85" s="1479"/>
      <c r="AE85" s="1479"/>
      <c r="AF85" s="1479"/>
      <c r="AG85" s="1479"/>
      <c r="AH85" s="1479"/>
      <c r="AI85" s="1479"/>
      <c r="AJ85" s="1479"/>
      <c r="AK85" s="1479"/>
    </row>
    <row r="86" spans="1:37">
      <c r="A86" s="4"/>
      <c r="C86" s="2"/>
      <c r="D86" s="4"/>
      <c r="E86" s="4"/>
      <c r="G86" s="1479"/>
      <c r="H86" s="1479"/>
      <c r="I86" s="1479"/>
      <c r="J86" s="1479"/>
      <c r="K86" s="1479"/>
      <c r="L86" s="1479"/>
      <c r="M86" s="1479"/>
      <c r="N86" s="1479"/>
      <c r="O86" s="1479"/>
      <c r="P86" s="1479"/>
      <c r="Q86" s="1479"/>
      <c r="R86" s="1479"/>
      <c r="S86" s="1479"/>
      <c r="T86" s="1479"/>
      <c r="U86" s="1479"/>
      <c r="V86" s="1479"/>
      <c r="W86" s="1479"/>
      <c r="X86" s="1479"/>
      <c r="Y86" s="1479"/>
      <c r="Z86" s="1479"/>
      <c r="AA86" s="1479"/>
      <c r="AB86" s="1479"/>
      <c r="AC86" s="1479"/>
      <c r="AD86" s="1479"/>
      <c r="AE86" s="1479"/>
      <c r="AF86" s="1479"/>
      <c r="AG86" s="1479"/>
      <c r="AH86" s="1479"/>
      <c r="AI86" s="1479"/>
      <c r="AJ86" s="1479"/>
      <c r="AK86" s="1479"/>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805" t="s">
        <v>1170</v>
      </c>
      <c r="H88" s="1805"/>
      <c r="I88" s="1805"/>
      <c r="J88" s="1805"/>
      <c r="K88" s="1805"/>
      <c r="L88" s="1805"/>
      <c r="M88" s="1805"/>
      <c r="N88" s="1805"/>
      <c r="O88" s="1805"/>
      <c r="P88" s="1805"/>
      <c r="Q88" s="1805"/>
      <c r="R88" s="1805"/>
      <c r="S88" s="1805"/>
      <c r="T88" s="1805"/>
      <c r="U88" s="1805"/>
      <c r="V88" s="1805"/>
      <c r="W88" s="1805"/>
      <c r="X88" s="1805"/>
      <c r="Y88" s="1805"/>
      <c r="Z88" s="1805"/>
      <c r="AA88" s="1805"/>
      <c r="AB88" s="1805"/>
      <c r="AC88" s="1805"/>
      <c r="AD88" s="1805"/>
      <c r="AE88" s="1805"/>
      <c r="AF88" s="1805"/>
      <c r="AG88" s="1805"/>
      <c r="AH88" s="1805"/>
      <c r="AI88" s="1805"/>
      <c r="AJ88" s="1805"/>
      <c r="AK88" s="1805"/>
    </row>
    <row r="89" spans="1:37">
      <c r="A89" s="4"/>
      <c r="C89" s="2"/>
      <c r="D89" s="4"/>
      <c r="E89" s="4"/>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row>
    <row r="90" spans="1:37">
      <c r="A90" s="4"/>
      <c r="C90" s="2"/>
      <c r="D90" s="4"/>
      <c r="E90" s="4"/>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9" t="s">
        <v>1171</v>
      </c>
      <c r="H92" s="1479"/>
      <c r="I92" s="1479"/>
      <c r="J92" s="1479"/>
      <c r="K92" s="1479"/>
      <c r="L92" s="1479"/>
      <c r="M92" s="1479"/>
      <c r="N92" s="1479"/>
      <c r="O92" s="1479"/>
      <c r="P92" s="1479"/>
      <c r="Q92" s="1479"/>
      <c r="R92" s="1479"/>
      <c r="S92" s="1479"/>
      <c r="T92" s="1479"/>
      <c r="U92" s="1479"/>
      <c r="V92" s="1479"/>
      <c r="W92" s="1479"/>
      <c r="X92" s="1479"/>
      <c r="Y92" s="1479"/>
      <c r="Z92" s="1479"/>
      <c r="AA92" s="1479"/>
      <c r="AB92" s="1479"/>
      <c r="AC92" s="1479"/>
      <c r="AD92" s="1479"/>
      <c r="AE92" s="1479"/>
      <c r="AF92" s="1479"/>
      <c r="AG92" s="1479"/>
      <c r="AH92" s="1479"/>
      <c r="AI92" s="1479"/>
      <c r="AJ92" s="1479"/>
      <c r="AK92" s="1479"/>
    </row>
    <row r="93" spans="1:37">
      <c r="A93" s="4"/>
      <c r="C93" s="2"/>
      <c r="D93" s="4"/>
      <c r="E93" s="4"/>
      <c r="G93" s="1479"/>
      <c r="H93" s="1479"/>
      <c r="I93" s="1479"/>
      <c r="J93" s="1479"/>
      <c r="K93" s="1479"/>
      <c r="L93" s="1479"/>
      <c r="M93" s="1479"/>
      <c r="N93" s="1479"/>
      <c r="O93" s="1479"/>
      <c r="P93" s="1479"/>
      <c r="Q93" s="1479"/>
      <c r="R93" s="1479"/>
      <c r="S93" s="1479"/>
      <c r="T93" s="1479"/>
      <c r="U93" s="1479"/>
      <c r="V93" s="1479"/>
      <c r="W93" s="1479"/>
      <c r="X93" s="1479"/>
      <c r="Y93" s="1479"/>
      <c r="Z93" s="1479"/>
      <c r="AA93" s="1479"/>
      <c r="AB93" s="1479"/>
      <c r="AC93" s="1479"/>
      <c r="AD93" s="1479"/>
      <c r="AE93" s="1479"/>
      <c r="AF93" s="1479"/>
      <c r="AG93" s="1479"/>
      <c r="AH93" s="1479"/>
      <c r="AI93" s="1479"/>
      <c r="AJ93" s="1479"/>
      <c r="AK93" s="1479"/>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79" t="s">
        <v>1172</v>
      </c>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row>
    <row r="96" spans="1:37">
      <c r="A96" s="4"/>
      <c r="C96" s="2"/>
      <c r="D96" s="4"/>
      <c r="E96" s="4"/>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row>
    <row r="97" spans="1:38">
      <c r="A97" s="4"/>
      <c r="C97" s="2"/>
      <c r="D97" s="4"/>
      <c r="E97" s="4"/>
      <c r="G97" s="1479"/>
      <c r="H97" s="1479"/>
      <c r="I97" s="1479"/>
      <c r="J97" s="1479"/>
      <c r="K97" s="1479"/>
      <c r="L97" s="1479"/>
      <c r="M97" s="1479"/>
      <c r="N97" s="1479"/>
      <c r="O97" s="1479"/>
      <c r="P97" s="1479"/>
      <c r="Q97" s="1479"/>
      <c r="R97" s="1479"/>
      <c r="S97" s="1479"/>
      <c r="T97" s="1479"/>
      <c r="U97" s="1479"/>
      <c r="V97" s="1479"/>
      <c r="W97" s="1479"/>
      <c r="X97" s="1479"/>
      <c r="Y97" s="1479"/>
      <c r="Z97" s="1479"/>
      <c r="AA97" s="1479"/>
      <c r="AB97" s="1479"/>
      <c r="AC97" s="1479"/>
      <c r="AD97" s="1479"/>
      <c r="AE97" s="1479"/>
      <c r="AF97" s="1479"/>
      <c r="AG97" s="1479"/>
      <c r="AH97" s="1479"/>
      <c r="AI97" s="1479"/>
      <c r="AJ97" s="1479"/>
      <c r="AK97" s="1479"/>
    </row>
    <row r="98" spans="1:38">
      <c r="A98" s="4"/>
      <c r="D98" s="99"/>
      <c r="E98" s="1806" t="s">
        <v>1173</v>
      </c>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row>
    <row r="99" spans="1:38">
      <c r="A99" s="4"/>
      <c r="D99" s="99"/>
      <c r="E99" s="1806"/>
      <c r="F99" s="1806"/>
      <c r="G99" s="1806"/>
      <c r="H99" s="1806"/>
      <c r="I99" s="1806"/>
      <c r="J99" s="1806"/>
      <c r="K99" s="1806"/>
      <c r="L99" s="1806"/>
      <c r="M99" s="1806"/>
      <c r="N99" s="1806"/>
      <c r="O99" s="1806"/>
      <c r="P99" s="1806"/>
      <c r="Q99" s="1806"/>
      <c r="R99" s="1806"/>
      <c r="S99" s="1806"/>
      <c r="T99" s="1806"/>
      <c r="U99" s="1806"/>
      <c r="V99" s="1806"/>
      <c r="W99" s="1806"/>
      <c r="X99" s="1806"/>
      <c r="Y99" s="1806"/>
      <c r="Z99" s="1806"/>
      <c r="AA99" s="1806"/>
      <c r="AB99" s="1806"/>
      <c r="AC99" s="1806"/>
      <c r="AD99" s="1806"/>
      <c r="AE99" s="1806"/>
      <c r="AF99" s="1806"/>
      <c r="AG99" s="1806"/>
      <c r="AH99" s="1806"/>
      <c r="AI99" s="1806"/>
      <c r="AJ99" s="1806"/>
      <c r="AK99" s="180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762</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576</v>
      </c>
    </row>
    <row r="128" spans="2:10">
      <c r="E128" s="4" t="s">
        <v>921</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1998</v>
      </c>
      <c r="F138" s="2"/>
      <c r="G138" s="2"/>
      <c r="H138" s="2"/>
    </row>
    <row r="139" spans="4:37">
      <c r="E139" t="s">
        <v>112</v>
      </c>
      <c r="F139" t="s">
        <v>52</v>
      </c>
    </row>
    <row r="140" spans="4:37">
      <c r="E140" t="s">
        <v>113</v>
      </c>
      <c r="F140" t="s">
        <v>465</v>
      </c>
    </row>
    <row r="141" spans="4:37"/>
    <row r="142" spans="4:37">
      <c r="D142" s="2" t="s">
        <v>429</v>
      </c>
      <c r="E142" s="2" t="s">
        <v>1999</v>
      </c>
    </row>
    <row r="143" spans="4:37">
      <c r="E143" s="204" t="s">
        <v>2000</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724</v>
      </c>
    </row>
    <row r="160" spans="3:7"/>
    <row r="161" spans="3:20">
      <c r="D161" s="2" t="s">
        <v>303</v>
      </c>
      <c r="E161" s="2" t="s">
        <v>381</v>
      </c>
    </row>
    <row r="162" spans="3:20">
      <c r="E162" s="4" t="s">
        <v>927</v>
      </c>
      <c r="F162" s="4"/>
    </row>
    <row r="163" spans="3:20"/>
    <row r="164" spans="3:20">
      <c r="D164" s="2" t="s">
        <v>429</v>
      </c>
      <c r="E164" s="2" t="s">
        <v>172</v>
      </c>
    </row>
    <row r="165" spans="3:20">
      <c r="E165" s="4" t="s">
        <v>929</v>
      </c>
    </row>
    <row r="166" spans="3:20">
      <c r="E166" s="4" t="s">
        <v>928</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652</v>
      </c>
      <c r="G205" s="1479" t="s">
        <v>1174</v>
      </c>
      <c r="H205" s="1479"/>
      <c r="I205" s="1479"/>
      <c r="J205" s="1479"/>
      <c r="K205" s="1479"/>
      <c r="L205" s="1479"/>
      <c r="M205" s="1479"/>
      <c r="N205" s="1479"/>
      <c r="O205" s="1479"/>
      <c r="P205" s="1479"/>
      <c r="Q205" s="1479"/>
      <c r="R205" s="1479"/>
      <c r="S205" s="1479"/>
      <c r="T205" s="1479"/>
      <c r="U205" s="1479"/>
      <c r="V205" s="1479"/>
      <c r="W205" s="1479"/>
      <c r="X205" s="1479"/>
      <c r="Y205" s="1479"/>
      <c r="Z205" s="1479"/>
      <c r="AA205" s="1479"/>
      <c r="AB205" s="1479"/>
      <c r="AC205" s="1479"/>
      <c r="AD205" s="1479"/>
      <c r="AE205" s="1479"/>
      <c r="AF205" s="1479"/>
      <c r="AG205" s="1479"/>
      <c r="AH205" s="1479"/>
      <c r="AI205" s="1479"/>
      <c r="AJ205" s="1479"/>
      <c r="AK205" s="1479"/>
    </row>
    <row r="206" spans="2:37">
      <c r="B206" s="4"/>
      <c r="C206" s="4"/>
      <c r="D206" s="2"/>
      <c r="G206" s="1479"/>
      <c r="H206" s="1479"/>
      <c r="I206" s="1479"/>
      <c r="J206" s="1479"/>
      <c r="K206" s="1479"/>
      <c r="L206" s="1479"/>
      <c r="M206" s="1479"/>
      <c r="N206" s="1479"/>
      <c r="O206" s="1479"/>
      <c r="P206" s="1479"/>
      <c r="Q206" s="1479"/>
      <c r="R206" s="1479"/>
      <c r="S206" s="1479"/>
      <c r="T206" s="1479"/>
      <c r="U206" s="1479"/>
      <c r="V206" s="1479"/>
      <c r="W206" s="1479"/>
      <c r="X206" s="1479"/>
      <c r="Y206" s="1479"/>
      <c r="Z206" s="1479"/>
      <c r="AA206" s="1479"/>
      <c r="AB206" s="1479"/>
      <c r="AC206" s="1479"/>
      <c r="AD206" s="1479"/>
      <c r="AE206" s="1479"/>
      <c r="AF206" s="1479"/>
      <c r="AG206" s="1479"/>
      <c r="AH206" s="1479"/>
      <c r="AI206" s="1479"/>
      <c r="AJ206" s="1479"/>
      <c r="AK206" s="1479"/>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939</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947</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79" t="s">
        <v>1153</v>
      </c>
      <c r="G336" s="1479"/>
      <c r="H336" s="1479"/>
      <c r="I336" s="1479"/>
      <c r="J336" s="1479"/>
      <c r="K336" s="1479"/>
      <c r="L336" s="1479"/>
      <c r="M336" s="1479"/>
      <c r="N336" s="1479"/>
      <c r="O336" s="1479"/>
      <c r="P336" s="1479"/>
      <c r="Q336" s="1479"/>
      <c r="R336" s="1479"/>
      <c r="S336" s="1479"/>
      <c r="T336" s="1479"/>
      <c r="U336" s="1479"/>
      <c r="V336" s="1479"/>
      <c r="W336" s="1479"/>
      <c r="X336" s="1479"/>
      <c r="Y336" s="1479"/>
      <c r="Z336" s="1479"/>
      <c r="AA336" s="1479"/>
      <c r="AB336" s="1479"/>
      <c r="AC336" s="1479"/>
      <c r="AD336" s="1479"/>
      <c r="AE336" s="1479"/>
      <c r="AF336" s="1479"/>
      <c r="AG336" s="1479"/>
      <c r="AH336" s="1479"/>
      <c r="AI336" s="1479"/>
      <c r="AJ336" s="1479"/>
      <c r="AK336" s="1479"/>
    </row>
    <row r="337" spans="2:37">
      <c r="B337" s="2"/>
      <c r="E337" s="4"/>
      <c r="F337" s="1479"/>
      <c r="G337" s="1479"/>
      <c r="H337" s="1479"/>
      <c r="I337" s="1479"/>
      <c r="J337" s="1479"/>
      <c r="K337" s="1479"/>
      <c r="L337" s="1479"/>
      <c r="M337" s="1479"/>
      <c r="N337" s="1479"/>
      <c r="O337" s="1479"/>
      <c r="P337" s="1479"/>
      <c r="Q337" s="1479"/>
      <c r="R337" s="1479"/>
      <c r="S337" s="1479"/>
      <c r="T337" s="1479"/>
      <c r="U337" s="1479"/>
      <c r="V337" s="1479"/>
      <c r="W337" s="1479"/>
      <c r="X337" s="1479"/>
      <c r="Y337" s="1479"/>
      <c r="Z337" s="1479"/>
      <c r="AA337" s="1479"/>
      <c r="AB337" s="1479"/>
      <c r="AC337" s="1479"/>
      <c r="AD337" s="1479"/>
      <c r="AE337" s="1479"/>
      <c r="AF337" s="1479"/>
      <c r="AG337" s="1479"/>
      <c r="AH337" s="1479"/>
      <c r="AI337" s="1479"/>
      <c r="AJ337" s="1479"/>
      <c r="AK337" s="1479"/>
    </row>
    <row r="338" spans="2:37">
      <c r="B338" s="2"/>
      <c r="E338" s="4"/>
      <c r="F338" s="1479"/>
      <c r="G338" s="1479"/>
      <c r="H338" s="1479"/>
      <c r="I338" s="1479"/>
      <c r="J338" s="1479"/>
      <c r="K338" s="1479"/>
      <c r="L338" s="1479"/>
      <c r="M338" s="1479"/>
      <c r="N338" s="1479"/>
      <c r="O338" s="1479"/>
      <c r="P338" s="1479"/>
      <c r="Q338" s="1479"/>
      <c r="R338" s="1479"/>
      <c r="S338" s="1479"/>
      <c r="T338" s="1479"/>
      <c r="U338" s="1479"/>
      <c r="V338" s="1479"/>
      <c r="W338" s="1479"/>
      <c r="X338" s="1479"/>
      <c r="Y338" s="1479"/>
      <c r="Z338" s="1479"/>
      <c r="AA338" s="1479"/>
      <c r="AB338" s="1479"/>
      <c r="AC338" s="1479"/>
      <c r="AD338" s="1479"/>
      <c r="AE338" s="1479"/>
      <c r="AF338" s="1479"/>
      <c r="AG338" s="1479"/>
      <c r="AH338" s="1479"/>
      <c r="AI338" s="1479"/>
      <c r="AJ338" s="1479"/>
      <c r="AK338" s="1479"/>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807" t="s">
        <v>1233</v>
      </c>
      <c r="F341" s="1807"/>
      <c r="G341" s="1807"/>
      <c r="H341" s="1807"/>
      <c r="I341" s="1807"/>
      <c r="J341" s="1807"/>
      <c r="K341" s="1807"/>
      <c r="L341" s="1807"/>
      <c r="M341" s="1807"/>
      <c r="N341" s="1807"/>
      <c r="O341" s="1807"/>
      <c r="P341" s="1807"/>
      <c r="Q341" s="1807"/>
      <c r="R341" s="1807"/>
      <c r="S341" s="1807"/>
      <c r="T341" s="1807"/>
      <c r="U341" s="1807"/>
      <c r="V341" s="1807"/>
      <c r="W341" s="1807"/>
      <c r="X341" s="1807"/>
      <c r="Y341" s="1807"/>
      <c r="Z341" s="1807"/>
      <c r="AA341" s="1807"/>
      <c r="AB341" s="1807"/>
      <c r="AC341" s="1807"/>
      <c r="AD341" s="1807"/>
      <c r="AE341" s="1807"/>
      <c r="AF341" s="1807"/>
      <c r="AG341" s="1807"/>
      <c r="AH341" s="1807"/>
      <c r="AI341" s="1807"/>
      <c r="AJ341" s="1807"/>
      <c r="AK341" s="1807"/>
    </row>
    <row r="342" spans="2:37">
      <c r="B342" s="2"/>
      <c r="E342" s="1807"/>
      <c r="F342" s="1807"/>
      <c r="G342" s="1807"/>
      <c r="H342" s="1807"/>
      <c r="I342" s="1807"/>
      <c r="J342" s="1807"/>
      <c r="K342" s="1807"/>
      <c r="L342" s="1807"/>
      <c r="M342" s="1807"/>
      <c r="N342" s="1807"/>
      <c r="O342" s="1807"/>
      <c r="P342" s="1807"/>
      <c r="Q342" s="1807"/>
      <c r="R342" s="1807"/>
      <c r="S342" s="1807"/>
      <c r="T342" s="1807"/>
      <c r="U342" s="1807"/>
      <c r="V342" s="1807"/>
      <c r="W342" s="1807"/>
      <c r="X342" s="1807"/>
      <c r="Y342" s="1807"/>
      <c r="Z342" s="1807"/>
      <c r="AA342" s="1807"/>
      <c r="AB342" s="1807"/>
      <c r="AC342" s="1807"/>
      <c r="AD342" s="1807"/>
      <c r="AE342" s="1807"/>
      <c r="AF342" s="1807"/>
      <c r="AG342" s="1807"/>
      <c r="AH342" s="1807"/>
      <c r="AI342" s="1807"/>
      <c r="AJ342" s="1807"/>
      <c r="AK342" s="1807"/>
    </row>
    <row r="343" spans="2:37">
      <c r="B343" s="2"/>
      <c r="E343" s="1807"/>
      <c r="F343" s="1807"/>
      <c r="G343" s="1807"/>
      <c r="H343" s="1807"/>
      <c r="I343" s="1807"/>
      <c r="J343" s="1807"/>
      <c r="K343" s="1807"/>
      <c r="L343" s="1807"/>
      <c r="M343" s="1807"/>
      <c r="N343" s="1807"/>
      <c r="O343" s="1807"/>
      <c r="P343" s="1807"/>
      <c r="Q343" s="1807"/>
      <c r="R343" s="1807"/>
      <c r="S343" s="1807"/>
      <c r="T343" s="1807"/>
      <c r="U343" s="1807"/>
      <c r="V343" s="1807"/>
      <c r="W343" s="1807"/>
      <c r="X343" s="1807"/>
      <c r="Y343" s="1807"/>
      <c r="Z343" s="1807"/>
      <c r="AA343" s="1807"/>
      <c r="AB343" s="1807"/>
      <c r="AC343" s="1807"/>
      <c r="AD343" s="1807"/>
      <c r="AE343" s="1807"/>
      <c r="AF343" s="1807"/>
      <c r="AG343" s="1807"/>
      <c r="AH343" s="1807"/>
      <c r="AI343" s="1807"/>
      <c r="AJ343" s="1807"/>
      <c r="AK343" s="1807"/>
    </row>
    <row r="344" spans="2:37">
      <c r="B344" s="2"/>
      <c r="E344" s="1807"/>
      <c r="F344" s="1807"/>
      <c r="G344" s="1807"/>
      <c r="H344" s="1807"/>
      <c r="I344" s="1807"/>
      <c r="J344" s="1807"/>
      <c r="K344" s="1807"/>
      <c r="L344" s="1807"/>
      <c r="M344" s="1807"/>
      <c r="N344" s="1807"/>
      <c r="O344" s="1807"/>
      <c r="P344" s="1807"/>
      <c r="Q344" s="1807"/>
      <c r="R344" s="1807"/>
      <c r="S344" s="1807"/>
      <c r="T344" s="1807"/>
      <c r="U344" s="1807"/>
      <c r="V344" s="1807"/>
      <c r="W344" s="1807"/>
      <c r="X344" s="1807"/>
      <c r="Y344" s="1807"/>
      <c r="Z344" s="1807"/>
      <c r="AA344" s="1807"/>
      <c r="AB344" s="1807"/>
      <c r="AC344" s="1807"/>
      <c r="AD344" s="1807"/>
      <c r="AE344" s="1807"/>
      <c r="AF344" s="1807"/>
      <c r="AG344" s="1807"/>
      <c r="AH344" s="1807"/>
      <c r="AI344" s="1807"/>
      <c r="AJ344" s="1807"/>
      <c r="AK344" s="1807"/>
    </row>
    <row r="345" spans="2:37">
      <c r="B345" s="2"/>
      <c r="E345" s="1807"/>
      <c r="F345" s="1807"/>
      <c r="G345" s="1807"/>
      <c r="H345" s="1807"/>
      <c r="I345" s="1807"/>
      <c r="J345" s="1807"/>
      <c r="K345" s="1807"/>
      <c r="L345" s="1807"/>
      <c r="M345" s="1807"/>
      <c r="N345" s="1807"/>
      <c r="O345" s="1807"/>
      <c r="P345" s="1807"/>
      <c r="Q345" s="1807"/>
      <c r="R345" s="1807"/>
      <c r="S345" s="1807"/>
      <c r="T345" s="1807"/>
      <c r="U345" s="1807"/>
      <c r="V345" s="1807"/>
      <c r="W345" s="1807"/>
      <c r="X345" s="1807"/>
      <c r="Y345" s="1807"/>
      <c r="Z345" s="1807"/>
      <c r="AA345" s="1807"/>
      <c r="AB345" s="1807"/>
      <c r="AC345" s="1807"/>
      <c r="AD345" s="1807"/>
      <c r="AE345" s="1807"/>
      <c r="AF345" s="1807"/>
      <c r="AG345" s="1807"/>
      <c r="AH345" s="1807"/>
      <c r="AI345" s="1807"/>
      <c r="AJ345" s="1807"/>
      <c r="AK345" s="1807"/>
    </row>
    <row r="346" spans="2:37">
      <c r="B346" s="2"/>
      <c r="E346" s="3" t="s">
        <v>112</v>
      </c>
      <c r="F346" s="1479" t="s">
        <v>1235</v>
      </c>
      <c r="G346" s="1479"/>
      <c r="H346" s="1479"/>
      <c r="I346" s="1479"/>
      <c r="J346" s="1479"/>
      <c r="K346" s="1479"/>
      <c r="L346" s="1479"/>
      <c r="M346" s="1479"/>
      <c r="N346" s="1479"/>
      <c r="O346" s="1479"/>
      <c r="P346" s="1479"/>
      <c r="Q346" s="1479"/>
      <c r="R346" s="1479"/>
      <c r="S346" s="1479"/>
      <c r="T346" s="1479"/>
      <c r="U346" s="1479"/>
      <c r="V346" s="1479"/>
      <c r="W346" s="1479"/>
      <c r="X346" s="1479"/>
      <c r="Y346" s="1479"/>
      <c r="Z346" s="1479"/>
      <c r="AA346" s="1479"/>
      <c r="AB346" s="1479"/>
      <c r="AC346" s="1479"/>
      <c r="AD346" s="1479"/>
      <c r="AE346" s="1479"/>
      <c r="AF346" s="1479"/>
      <c r="AG346" s="1479"/>
      <c r="AH346" s="1479"/>
      <c r="AI346" s="1479"/>
      <c r="AJ346" s="1479"/>
      <c r="AK346" s="1479"/>
    </row>
    <row r="347" spans="2:37">
      <c r="B347" s="2"/>
      <c r="E347" s="3"/>
      <c r="F347" s="1479"/>
      <c r="G347" s="1479"/>
      <c r="H347" s="1479"/>
      <c r="I347" s="1479"/>
      <c r="J347" s="1479"/>
      <c r="K347" s="1479"/>
      <c r="L347" s="1479"/>
      <c r="M347" s="1479"/>
      <c r="N347" s="1479"/>
      <c r="O347" s="1479"/>
      <c r="P347" s="1479"/>
      <c r="Q347" s="1479"/>
      <c r="R347" s="1479"/>
      <c r="S347" s="1479"/>
      <c r="T347" s="1479"/>
      <c r="U347" s="1479"/>
      <c r="V347" s="1479"/>
      <c r="W347" s="1479"/>
      <c r="X347" s="1479"/>
      <c r="Y347" s="1479"/>
      <c r="Z347" s="1479"/>
      <c r="AA347" s="1479"/>
      <c r="AB347" s="1479"/>
      <c r="AC347" s="1479"/>
      <c r="AD347" s="1479"/>
      <c r="AE347" s="1479"/>
      <c r="AF347" s="1479"/>
      <c r="AG347" s="1479"/>
      <c r="AH347" s="1479"/>
      <c r="AI347" s="1479"/>
      <c r="AJ347" s="1479"/>
      <c r="AK347" s="1479"/>
    </row>
    <row r="348" spans="2:37">
      <c r="B348" s="2"/>
      <c r="E348" s="3"/>
      <c r="F348" s="1479"/>
      <c r="G348" s="1479"/>
      <c r="H348" s="1479"/>
      <c r="I348" s="1479"/>
      <c r="J348" s="1479"/>
      <c r="K348" s="1479"/>
      <c r="L348" s="1479"/>
      <c r="M348" s="1479"/>
      <c r="N348" s="1479"/>
      <c r="O348" s="1479"/>
      <c r="P348" s="1479"/>
      <c r="Q348" s="1479"/>
      <c r="R348" s="1479"/>
      <c r="S348" s="1479"/>
      <c r="T348" s="1479"/>
      <c r="U348" s="1479"/>
      <c r="V348" s="1479"/>
      <c r="W348" s="1479"/>
      <c r="X348" s="1479"/>
      <c r="Y348" s="1479"/>
      <c r="Z348" s="1479"/>
      <c r="AA348" s="1479"/>
      <c r="AB348" s="1479"/>
      <c r="AC348" s="1479"/>
      <c r="AD348" s="1479"/>
      <c r="AE348" s="1479"/>
      <c r="AF348" s="1479"/>
      <c r="AG348" s="1479"/>
      <c r="AH348" s="1479"/>
      <c r="AI348" s="1479"/>
      <c r="AJ348" s="1479"/>
      <c r="AK348" s="1479"/>
    </row>
    <row r="349" spans="2:37">
      <c r="B349" s="2"/>
      <c r="E349" s="3"/>
      <c r="F349" s="1479"/>
      <c r="G349" s="1479"/>
      <c r="H349" s="1479"/>
      <c r="I349" s="1479"/>
      <c r="J349" s="1479"/>
      <c r="K349" s="1479"/>
      <c r="L349" s="1479"/>
      <c r="M349" s="1479"/>
      <c r="N349" s="1479"/>
      <c r="O349" s="1479"/>
      <c r="P349" s="1479"/>
      <c r="Q349" s="1479"/>
      <c r="R349" s="1479"/>
      <c r="S349" s="1479"/>
      <c r="T349" s="1479"/>
      <c r="U349" s="1479"/>
      <c r="V349" s="1479"/>
      <c r="W349" s="1479"/>
      <c r="X349" s="1479"/>
      <c r="Y349" s="1479"/>
      <c r="Z349" s="1479"/>
      <c r="AA349" s="1479"/>
      <c r="AB349" s="1479"/>
      <c r="AC349" s="1479"/>
      <c r="AD349" s="1479"/>
      <c r="AE349" s="1479"/>
      <c r="AF349" s="1479"/>
      <c r="AG349" s="1479"/>
      <c r="AH349" s="1479"/>
      <c r="AI349" s="1479"/>
      <c r="AJ349" s="1479"/>
      <c r="AK349" s="1479"/>
    </row>
    <row r="350" spans="2:37">
      <c r="B350" s="2"/>
      <c r="E350" s="3" t="s">
        <v>113</v>
      </c>
      <c r="F350" s="1479" t="s">
        <v>1234</v>
      </c>
      <c r="G350" s="1479"/>
      <c r="H350" s="1479"/>
      <c r="I350" s="1479"/>
      <c r="J350" s="1479"/>
      <c r="K350" s="1479"/>
      <c r="L350" s="1479"/>
      <c r="M350" s="1479"/>
      <c r="N350" s="1479"/>
      <c r="O350" s="1479"/>
      <c r="P350" s="1479"/>
      <c r="Q350" s="1479"/>
      <c r="R350" s="1479"/>
      <c r="S350" s="1479"/>
      <c r="T350" s="1479"/>
      <c r="U350" s="1479"/>
      <c r="V350" s="1479"/>
      <c r="W350" s="1479"/>
      <c r="X350" s="1479"/>
      <c r="Y350" s="1479"/>
      <c r="Z350" s="1479"/>
      <c r="AA350" s="1479"/>
      <c r="AB350" s="1479"/>
      <c r="AC350" s="1479"/>
      <c r="AD350" s="1479"/>
      <c r="AE350" s="1479"/>
      <c r="AF350" s="1479"/>
      <c r="AG350" s="1479"/>
      <c r="AH350" s="1479"/>
      <c r="AI350" s="1479"/>
      <c r="AJ350" s="1479"/>
      <c r="AK350" s="1479"/>
    </row>
    <row r="351" spans="2:37">
      <c r="B351" s="2"/>
      <c r="F351" s="1479"/>
      <c r="G351" s="1479"/>
      <c r="H351" s="1479"/>
      <c r="I351" s="1479"/>
      <c r="J351" s="1479"/>
      <c r="K351" s="1479"/>
      <c r="L351" s="1479"/>
      <c r="M351" s="1479"/>
      <c r="N351" s="1479"/>
      <c r="O351" s="1479"/>
      <c r="P351" s="1479"/>
      <c r="Q351" s="1479"/>
      <c r="R351" s="1479"/>
      <c r="S351" s="1479"/>
      <c r="T351" s="1479"/>
      <c r="U351" s="1479"/>
      <c r="V351" s="1479"/>
      <c r="W351" s="1479"/>
      <c r="X351" s="1479"/>
      <c r="Y351" s="1479"/>
      <c r="Z351" s="1479"/>
      <c r="AA351" s="1479"/>
      <c r="AB351" s="1479"/>
      <c r="AC351" s="1479"/>
      <c r="AD351" s="1479"/>
      <c r="AE351" s="1479"/>
      <c r="AF351" s="1479"/>
      <c r="AG351" s="1479"/>
      <c r="AH351" s="1479"/>
      <c r="AI351" s="1479"/>
      <c r="AJ351" s="1479"/>
      <c r="AK351" s="1479"/>
    </row>
    <row r="352" spans="2:37">
      <c r="B352" s="2"/>
      <c r="F352" s="1479"/>
      <c r="G352" s="1479"/>
      <c r="H352" s="1479"/>
      <c r="I352" s="1479"/>
      <c r="J352" s="1479"/>
      <c r="K352" s="1479"/>
      <c r="L352" s="1479"/>
      <c r="M352" s="1479"/>
      <c r="N352" s="1479"/>
      <c r="O352" s="1479"/>
      <c r="P352" s="1479"/>
      <c r="Q352" s="1479"/>
      <c r="R352" s="1479"/>
      <c r="S352" s="1479"/>
      <c r="T352" s="1479"/>
      <c r="U352" s="1479"/>
      <c r="V352" s="1479"/>
      <c r="W352" s="1479"/>
      <c r="X352" s="1479"/>
      <c r="Y352" s="1479"/>
      <c r="Z352" s="1479"/>
      <c r="AA352" s="1479"/>
      <c r="AB352" s="1479"/>
      <c r="AC352" s="1479"/>
      <c r="AD352" s="1479"/>
      <c r="AE352" s="1479"/>
      <c r="AF352" s="1479"/>
      <c r="AG352" s="1479"/>
      <c r="AH352" s="1479"/>
      <c r="AI352" s="1479"/>
      <c r="AJ352" s="1479"/>
      <c r="AK352" s="1479"/>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9" t="s">
        <v>1224</v>
      </c>
      <c r="F365" s="1809"/>
      <c r="G365" s="1809"/>
      <c r="H365" s="1809"/>
      <c r="I365" s="1809"/>
      <c r="J365" s="1809"/>
      <c r="K365" s="1809"/>
      <c r="L365" s="1809"/>
      <c r="M365" s="1809"/>
      <c r="N365" s="1809"/>
      <c r="O365" s="1809"/>
      <c r="P365" s="1809"/>
      <c r="Q365" s="1809"/>
      <c r="R365" s="1809"/>
      <c r="S365" s="1809"/>
      <c r="T365" s="1809"/>
      <c r="U365" s="1809"/>
      <c r="V365" s="1809"/>
      <c r="W365" s="1809"/>
      <c r="X365" s="1809"/>
      <c r="Y365" s="1809"/>
      <c r="Z365" s="1809"/>
      <c r="AA365" s="1809"/>
      <c r="AB365" s="1809"/>
      <c r="AC365" s="1809"/>
      <c r="AD365" s="1809"/>
      <c r="AE365" s="1809"/>
      <c r="AF365" s="1809"/>
      <c r="AG365" s="1809"/>
      <c r="AH365" s="1809"/>
      <c r="AI365" s="1809"/>
      <c r="AJ365" s="1809"/>
      <c r="AK365" s="1809"/>
      <c r="AL365" s="1809"/>
    </row>
    <row r="366" spans="1:38">
      <c r="B366" s="2"/>
      <c r="E366" s="1809"/>
      <c r="F366" s="1809"/>
      <c r="G366" s="1809"/>
      <c r="H366" s="1809"/>
      <c r="I366" s="1809"/>
      <c r="J366" s="1809"/>
      <c r="K366" s="1809"/>
      <c r="L366" s="1809"/>
      <c r="M366" s="1809"/>
      <c r="N366" s="1809"/>
      <c r="O366" s="1809"/>
      <c r="P366" s="1809"/>
      <c r="Q366" s="1809"/>
      <c r="R366" s="1809"/>
      <c r="S366" s="1809"/>
      <c r="T366" s="1809"/>
      <c r="U366" s="1809"/>
      <c r="V366" s="1809"/>
      <c r="W366" s="1809"/>
      <c r="X366" s="1809"/>
      <c r="Y366" s="1809"/>
      <c r="Z366" s="1809"/>
      <c r="AA366" s="1809"/>
      <c r="AB366" s="1809"/>
      <c r="AC366" s="1809"/>
      <c r="AD366" s="1809"/>
      <c r="AE366" s="1809"/>
      <c r="AF366" s="1809"/>
      <c r="AG366" s="1809"/>
      <c r="AH366" s="1809"/>
      <c r="AI366" s="1809"/>
      <c r="AJ366" s="1809"/>
      <c r="AK366" s="1809"/>
      <c r="AL366" s="1809"/>
    </row>
    <row r="367" spans="1:38" s="1810" customFormat="1">
      <c r="A367"/>
      <c r="B367" s="2"/>
      <c r="C367"/>
      <c r="D367"/>
      <c r="E367" s="1511" t="s">
        <v>1256</v>
      </c>
    </row>
    <row r="368" spans="1:38" s="181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9" t="s">
        <v>1267</v>
      </c>
      <c r="G386" s="1479"/>
      <c r="H386" s="1479"/>
      <c r="I386" s="1479"/>
      <c r="J386" s="1479"/>
      <c r="K386" s="1479"/>
      <c r="L386" s="1479"/>
      <c r="M386" s="1479"/>
      <c r="N386" s="1479"/>
      <c r="O386" s="1479"/>
      <c r="P386" s="1479"/>
      <c r="Q386" s="1479"/>
      <c r="R386" s="1479"/>
      <c r="S386" s="1479"/>
      <c r="T386" s="1479"/>
      <c r="U386" s="1479"/>
      <c r="V386" s="1479"/>
      <c r="W386" s="1479"/>
      <c r="X386" s="1479"/>
      <c r="Y386" s="1479"/>
      <c r="Z386" s="1479"/>
      <c r="AA386" s="1479"/>
      <c r="AB386" s="1479"/>
      <c r="AC386" s="1479"/>
      <c r="AD386" s="1479"/>
      <c r="AE386" s="1479"/>
      <c r="AF386" s="1479"/>
      <c r="AG386" s="1479"/>
      <c r="AH386" s="1479"/>
      <c r="AI386" s="1479"/>
      <c r="AJ386" s="1479"/>
      <c r="AK386" s="1479"/>
    </row>
    <row r="387" spans="1:38">
      <c r="B387" s="2"/>
      <c r="E387" s="3"/>
      <c r="F387" s="1479"/>
      <c r="G387" s="1479"/>
      <c r="H387" s="1479"/>
      <c r="I387" s="1479"/>
      <c r="J387" s="1479"/>
      <c r="K387" s="1479"/>
      <c r="L387" s="1479"/>
      <c r="M387" s="1479"/>
      <c r="N387" s="1479"/>
      <c r="O387" s="1479"/>
      <c r="P387" s="1479"/>
      <c r="Q387" s="1479"/>
      <c r="R387" s="1479"/>
      <c r="S387" s="1479"/>
      <c r="T387" s="1479"/>
      <c r="U387" s="1479"/>
      <c r="V387" s="1479"/>
      <c r="W387" s="1479"/>
      <c r="X387" s="1479"/>
      <c r="Y387" s="1479"/>
      <c r="Z387" s="1479"/>
      <c r="AA387" s="1479"/>
      <c r="AB387" s="1479"/>
      <c r="AC387" s="1479"/>
      <c r="AD387" s="1479"/>
      <c r="AE387" s="1479"/>
      <c r="AF387" s="1479"/>
      <c r="AG387" s="1479"/>
      <c r="AH387" s="1479"/>
      <c r="AI387" s="1479"/>
      <c r="AJ387" s="1479"/>
      <c r="AK387" s="1479"/>
    </row>
    <row r="388" spans="1:38">
      <c r="B388" s="2"/>
      <c r="E388" s="3"/>
      <c r="F388" s="1479"/>
      <c r="G388" s="1479"/>
      <c r="H388" s="1479"/>
      <c r="I388" s="1479"/>
      <c r="J388" s="1479"/>
      <c r="K388" s="1479"/>
      <c r="L388" s="1479"/>
      <c r="M388" s="1479"/>
      <c r="N388" s="1479"/>
      <c r="O388" s="1479"/>
      <c r="P388" s="1479"/>
      <c r="Q388" s="1479"/>
      <c r="R388" s="1479"/>
      <c r="S388" s="1479"/>
      <c r="T388" s="1479"/>
      <c r="U388" s="1479"/>
      <c r="V388" s="1479"/>
      <c r="W388" s="1479"/>
      <c r="X388" s="1479"/>
      <c r="Y388" s="1479"/>
      <c r="Z388" s="1479"/>
      <c r="AA388" s="1479"/>
      <c r="AB388" s="1479"/>
      <c r="AC388" s="1479"/>
      <c r="AD388" s="1479"/>
      <c r="AE388" s="1479"/>
      <c r="AF388" s="1479"/>
      <c r="AG388" s="1479"/>
      <c r="AH388" s="1479"/>
      <c r="AI388" s="1479"/>
      <c r="AJ388" s="1479"/>
      <c r="AK388" s="147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97" sqref="L97"/>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4" t="s">
        <v>1572</v>
      </c>
      <c r="B1" s="2664"/>
      <c r="C1" s="2664"/>
      <c r="D1" s="2664"/>
      <c r="E1" s="2664"/>
      <c r="F1" s="2664"/>
      <c r="G1" s="2664"/>
      <c r="H1" s="2664"/>
      <c r="I1" s="2664"/>
      <c r="J1" s="2664"/>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45655656</v>
      </c>
      <c r="I3" s="1099"/>
    </row>
    <row r="4" spans="1:13" s="1046" customFormat="1" ht="20.100000000000001" customHeight="1">
      <c r="B4" s="1088"/>
      <c r="D4" s="1102"/>
      <c r="F4" s="1087" t="s">
        <v>1962</v>
      </c>
      <c r="G4" s="1086" t="s">
        <v>1961</v>
      </c>
      <c r="H4" s="1201">
        <f>I18</f>
        <v>27525730.535714284</v>
      </c>
      <c r="I4" s="1089"/>
      <c r="K4" s="1050"/>
    </row>
    <row r="5" spans="1:13" s="1046" customFormat="1" ht="20.100000000000001" customHeight="1" thickBot="1">
      <c r="B5" s="1090"/>
      <c r="C5" s="1091"/>
      <c r="D5" s="1103"/>
      <c r="E5" s="1092"/>
      <c r="F5" s="1103" t="s">
        <v>1912</v>
      </c>
      <c r="G5" s="1104"/>
      <c r="H5" s="1100">
        <f>IFERROR(H3/H4,0)</f>
        <v>1.6586537436585878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7" t="s">
        <v>1910</v>
      </c>
      <c r="C8" s="2668"/>
      <c r="D8" s="2668"/>
      <c r="E8" s="2669"/>
      <c r="G8" s="2648" t="s">
        <v>1911</v>
      </c>
      <c r="H8" s="2649"/>
      <c r="I8" s="2650"/>
      <c r="K8" s="1052"/>
    </row>
    <row r="9" spans="1:13" ht="15" customHeight="1">
      <c r="A9" s="1041"/>
      <c r="B9" s="2665" t="s">
        <v>1944</v>
      </c>
      <c r="C9" s="2665"/>
      <c r="D9" s="2665"/>
      <c r="E9" s="1054">
        <f>G33</f>
        <v>9350000</v>
      </c>
      <c r="G9" s="2661" t="s">
        <v>1942</v>
      </c>
      <c r="H9" s="2661"/>
      <c r="I9" s="1055">
        <f>MAX(SUMIF(Application!M562:M573,"Loan, Tax-Exempt",Application!AM562:AM573),27.5%*SUM('Sources and Uses Budget'!C8,'Sources and Uses Budget'!S105,'Sources and Uses Budget'!T105))</f>
        <v>15654500</v>
      </c>
      <c r="K9" s="1056"/>
      <c r="M9" s="1057"/>
    </row>
    <row r="10" spans="1:13" ht="15" customHeight="1" thickBot="1">
      <c r="A10" s="1041"/>
      <c r="B10" s="2665" t="s">
        <v>1945</v>
      </c>
      <c r="C10" s="2665"/>
      <c r="D10" s="2665"/>
      <c r="E10" s="1055">
        <f>G47</f>
        <v>15976656.000000002</v>
      </c>
      <c r="G10" s="2663" t="s">
        <v>1913</v>
      </c>
      <c r="H10" s="2663"/>
      <c r="I10" s="1134">
        <f>IF(OR(Application!Z205="State Farmworker Credit",Application!Z205="$500M (Farmworker Housing)"),0,'Basis &amp; Credits'!AB78)</f>
        <v>14000000</v>
      </c>
      <c r="M10" s="1057"/>
    </row>
    <row r="11" spans="1:13" ht="15" customHeight="1">
      <c r="A11" s="1041"/>
      <c r="B11" s="2671" t="s">
        <v>2207</v>
      </c>
      <c r="C11" s="2672"/>
      <c r="D11" s="2673"/>
      <c r="E11" s="1055">
        <f>SUM(E13,E12)</f>
        <v>320000</v>
      </c>
      <c r="G11" s="2670" t="s">
        <v>1953</v>
      </c>
      <c r="H11" s="2670"/>
      <c r="I11" s="1133">
        <f>I9+I10</f>
        <v>29654500</v>
      </c>
      <c r="M11" s="1057"/>
    </row>
    <row r="12" spans="1:13" ht="15" customHeight="1">
      <c r="A12" s="1058"/>
      <c r="B12" s="2666" t="s">
        <v>2566</v>
      </c>
      <c r="C12" s="2666"/>
      <c r="D12" s="2666"/>
      <c r="E12" s="1158">
        <f>G56</f>
        <v>320000</v>
      </c>
      <c r="M12" s="1057"/>
    </row>
    <row r="13" spans="1:13" ht="15" customHeight="1">
      <c r="A13" s="1044"/>
      <c r="B13" s="2666" t="s">
        <v>2567</v>
      </c>
      <c r="C13" s="2666"/>
      <c r="D13" s="2666"/>
      <c r="E13" s="1158">
        <f>IF(G67,MAX(G65,G79),G65)</f>
        <v>0</v>
      </c>
      <c r="G13" s="2648" t="s">
        <v>1976</v>
      </c>
      <c r="H13" s="2649"/>
      <c r="I13" s="2650"/>
    </row>
    <row r="14" spans="1:13" ht="15" customHeight="1">
      <c r="A14" s="1044"/>
      <c r="B14" s="2671" t="s">
        <v>2208</v>
      </c>
      <c r="C14" s="2672"/>
      <c r="D14" s="2673"/>
      <c r="E14" s="1160">
        <f>MAX(E15,E16)+E17</f>
        <v>20009000</v>
      </c>
      <c r="G14" s="2661" t="s">
        <v>2583</v>
      </c>
      <c r="H14" s="2661"/>
      <c r="I14" s="1059">
        <f>IF(AND(G134="Yes",G136&lt;&gt;""),IF(OR(G141="Yes",G145="Yes"),18%,15%),0)</f>
        <v>0</v>
      </c>
      <c r="M14" s="1057"/>
    </row>
    <row r="15" spans="1:13" ht="15" customHeight="1">
      <c r="A15" s="1044"/>
      <c r="B15" s="2645" t="s">
        <v>2580</v>
      </c>
      <c r="C15" s="2646"/>
      <c r="D15" s="2647"/>
      <c r="E15" s="1158">
        <f>G94</f>
        <v>5610000</v>
      </c>
      <c r="G15" s="1131" t="s">
        <v>1954</v>
      </c>
      <c r="H15" s="1131"/>
      <c r="I15" s="1059">
        <f>IF(Application!AJ1041&gt;0,10%,IF(Application!AJ1045&gt;0,5%,0))</f>
        <v>0.05</v>
      </c>
      <c r="M15" s="1057"/>
    </row>
    <row r="16" spans="1:13" ht="15" customHeight="1">
      <c r="A16" s="1044"/>
      <c r="B16" s="2645" t="s">
        <v>2581</v>
      </c>
      <c r="C16" s="2646"/>
      <c r="D16" s="2647"/>
      <c r="E16" s="1158">
        <f>G104</f>
        <v>0</v>
      </c>
      <c r="G16" s="2661" t="s">
        <v>1955</v>
      </c>
      <c r="H16" s="2661"/>
      <c r="I16" s="1059">
        <f>G155</f>
        <v>2.1785714285714287E-2</v>
      </c>
    </row>
    <row r="17" spans="1:21" ht="15" customHeight="1" thickBot="1">
      <c r="A17" s="1044"/>
      <c r="B17" s="2645" t="s">
        <v>2582</v>
      </c>
      <c r="C17" s="2646"/>
      <c r="D17" s="2647"/>
      <c r="E17" s="1158">
        <f>G129</f>
        <v>14399000</v>
      </c>
      <c r="G17" s="2661" t="s">
        <v>2216</v>
      </c>
      <c r="H17" s="2661"/>
      <c r="I17" s="1059">
        <f>IF(AND(G161="Yes",G159),IF(G165&gt;15%,15%,G165),0)</f>
        <v>0</v>
      </c>
    </row>
    <row r="18" spans="1:21" ht="15" customHeight="1">
      <c r="A18" s="1041"/>
      <c r="B18" s="2662" t="s">
        <v>1909</v>
      </c>
      <c r="C18" s="2662"/>
      <c r="D18" s="2662"/>
      <c r="E18" s="1105">
        <f>SUM(E9:E11,E14)</f>
        <v>45655656</v>
      </c>
      <c r="G18" s="1132" t="s">
        <v>1943</v>
      </c>
      <c r="H18" s="1132"/>
      <c r="I18" s="1106">
        <f>I11-((I11*I14)+(I11*I15)+(I11*I16)+(I11*I17))</f>
        <v>27525730.535714284</v>
      </c>
      <c r="M18" s="1060">
        <f>SUM(Cdlac[Quantity])</f>
        <v>153</v>
      </c>
      <c r="O18" s="1079" t="s">
        <v>581</v>
      </c>
      <c r="P18" s="1039">
        <f>MATCH(Application!T189,Application!CB160:CB217,0)</f>
        <v>19</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16</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7</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2" t="s">
        <v>1957</v>
      </c>
      <c r="D22" s="2652" t="s">
        <v>1958</v>
      </c>
      <c r="E22" s="2652" t="s">
        <v>1959</v>
      </c>
      <c r="F22" s="2652" t="s">
        <v>2531</v>
      </c>
      <c r="G22" s="2652" t="s">
        <v>1956</v>
      </c>
      <c r="H22" s="1065"/>
      <c r="I22" s="1064"/>
      <c r="L22" s="1039">
        <f>IFERROR(MIN(4,MATCH(Application!B728,UnitSizes,0)-1),"")</f>
        <v>1</v>
      </c>
      <c r="M22" s="1060">
        <f>Application!G728</f>
        <v>38</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3"/>
      <c r="D23" s="2653"/>
      <c r="E23" s="2653"/>
      <c r="F23" s="2653"/>
      <c r="G23" s="2653"/>
      <c r="H23" s="1065"/>
      <c r="I23" s="1064"/>
      <c r="L23" s="1039">
        <f>IFERROR(MIN(4,MATCH(Application!B729,UnitSizes,0)-1),"")</f>
        <v>2</v>
      </c>
      <c r="M23" s="1060">
        <f>Application!G729</f>
        <v>5</v>
      </c>
      <c r="N23" s="1066">
        <f>Application!AC729</f>
        <v>0.5</v>
      </c>
      <c r="O23" s="1066">
        <f>IF(Cdlac[[#This Row],[Quantity]]&gt;0,IF(Cdlac[[#This Row],[Federal]],30%,IF(AND(OR(NOT($G$38),$G$38=""),$G$43),40%,Cdlac[[#This Row],[iAMI]])),"")</f>
        <v>0.5</v>
      </c>
      <c r="P23" s="1060" cm="1">
        <f t="array" ref="P23">IF(Cdlac[[#This Row],[Quantity]]&gt;0,INDEX(TcacRents,$P$18,Cdlac[[#This Row],[Bedrooms]]+1)*Cdlac[[#This Row],[AMI]],"")</f>
        <v>1703</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922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17</v>
      </c>
      <c r="N24" s="1066">
        <f>Application!AC730</f>
        <v>0.6</v>
      </c>
      <c r="O24" s="1066">
        <f>IF(Cdlac[[#This Row],[Quantity]]&gt;0,IF(Cdlac[[#This Row],[Federal]],30%,IF(AND(OR(NOT($G$38),$G$38=""),$G$43),40%,Cdlac[[#This Row],[iAMI]])),"")</f>
        <v>0.6</v>
      </c>
      <c r="P24" s="1060" cm="1">
        <f t="array" ref="P24">IF(Cdlac[[#This Row],[Quantity]]&gt;0,INDEX(TcacRents,$P$18,Cdlac[[#This Row],[Bedrooms]]+1)*Cdlac[[#This Row],[AMI]],"")</f>
        <v>2043.6</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581.40000000000009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61</v>
      </c>
      <c r="F25" s="1067">
        <f>E25</f>
        <v>61</v>
      </c>
      <c r="G25" s="1067">
        <f>D25*F25</f>
        <v>61</v>
      </c>
      <c r="L25" s="1039">
        <f>IFERROR(MIN(4,MATCH(Application!B731,UnitSizes,0)-1),"")</f>
        <v>2</v>
      </c>
      <c r="M25" s="1060">
        <f>Application!G731</f>
        <v>26</v>
      </c>
      <c r="N25" s="1066">
        <f>Application!AC731</f>
        <v>0.7</v>
      </c>
      <c r="O25" s="1066">
        <f>IF(Cdlac[[#This Row],[Quantity]]&gt;0,IF(Cdlac[[#This Row],[Federal]],30%,IF(AND(OR(NOT($G$38),$G$38=""),$G$43),40%,Cdlac[[#This Row],[iAMI]])),"")</f>
        <v>0.7</v>
      </c>
      <c r="P25" s="1060" cm="1">
        <f t="array" ref="P25">IF(Cdlac[[#This Row],[Quantity]]&gt;0,INDEX(TcacRents,$P$18,Cdlac[[#This Row],[Bedrooms]]+1)*Cdlac[[#This Row],[AMI]],"")</f>
        <v>2384.1999999999998</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240.80000000000018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48</v>
      </c>
      <c r="F26" s="1070">
        <f>SUM(E26:E28)-SUM(F27:F28)</f>
        <v>48</v>
      </c>
      <c r="G26" s="1067">
        <f>D26*F26</f>
        <v>60</v>
      </c>
      <c r="H26" s="1069"/>
      <c r="I26" s="1069"/>
      <c r="L26" s="1039">
        <f>IFERROR(MIN(4,MATCH(Application!B732,UnitSizes,0)-1),"")</f>
        <v>3</v>
      </c>
      <c r="M26" s="1060">
        <f>Application!G732</f>
        <v>5</v>
      </c>
      <c r="N26" s="1066">
        <f>Application!AC732</f>
        <v>0.5</v>
      </c>
      <c r="O26" s="1066">
        <f>IF(Cdlac[[#This Row],[Quantity]]&gt;0,IF(Cdlac[[#This Row],[Federal]],30%,IF(AND(OR(NOT($G$38),$G$38=""),$G$43),40%,Cdlac[[#This Row],[iAMI]])),"")</f>
        <v>0.5</v>
      </c>
      <c r="P26" s="1060" cm="1">
        <f t="array" ref="P26">IF(Cdlac[[#This Row],[Quantity]]&gt;0,INDEX(TcacRents,$P$18,Cdlac[[#This Row],[Bedrooms]]+1)*Cdlac[[#This Row],[AMI]],"")</f>
        <v>1969</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1366</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44</v>
      </c>
      <c r="F27" s="1070">
        <f>MIN(E27,ROUNDDOWN(E29*30%,0))</f>
        <v>44</v>
      </c>
      <c r="G27" s="1067">
        <f>D27*F27</f>
        <v>66</v>
      </c>
      <c r="H27" s="1069"/>
      <c r="I27" s="1069"/>
      <c r="L27" s="1039">
        <f>IFERROR(MIN(4,MATCH(Application!B733,UnitSizes,0)-1),"")</f>
        <v>3</v>
      </c>
      <c r="M27" s="1060">
        <f>Application!G733</f>
        <v>39</v>
      </c>
      <c r="N27" s="1066">
        <f>Application!AC733</f>
        <v>0.7</v>
      </c>
      <c r="O27" s="1066">
        <f>IF(Cdlac[[#This Row],[Quantity]]&gt;0,IF(Cdlac[[#This Row],[Federal]],30%,IF(AND(OR(NOT($G$38),$G$38=""),$G$43),40%,Cdlac[[#This Row],[iAMI]])),"")</f>
        <v>0.7</v>
      </c>
      <c r="P27" s="1060" cm="1">
        <f t="array" ref="P27">IF(Cdlac[[#This Row],[Quantity]]&gt;0,INDEX(TcacRents,$P$18,Cdlac[[#This Row],[Bedrooms]]+1)*Cdlac[[#This Row],[AMI]],"")</f>
        <v>2756.6</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578.40000000000009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4" t="s">
        <v>1573</v>
      </c>
      <c r="D29" s="2655"/>
      <c r="E29" s="1084">
        <f>SUM(E24:E28)</f>
        <v>153</v>
      </c>
      <c r="F29" s="1084">
        <f>SUM(F24:F28)</f>
        <v>153</v>
      </c>
      <c r="G29" s="1085">
        <f>SUMPRODUCT(D24:D28,F24:F28)</f>
        <v>187</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187</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9350000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88759.200000000012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15976656.000000002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76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76</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78" t="s">
        <v>1940</v>
      </c>
      <c r="M83" s="2679"/>
      <c r="N83" s="1125">
        <v>30000</v>
      </c>
    </row>
    <row r="84" spans="2:14" ht="15" customHeight="1">
      <c r="C84" s="1072" t="s">
        <v>1952</v>
      </c>
      <c r="G84" s="1076" t="str">
        <f>IF(Application!D211="Large Family","Yes","No")</f>
        <v>Yes</v>
      </c>
      <c r="L84" s="2682" t="s">
        <v>1908</v>
      </c>
      <c r="M84" s="2683"/>
      <c r="N84" s="1126">
        <v>20000</v>
      </c>
    </row>
    <row r="85" spans="2:14" ht="15" customHeight="1" thickBot="1">
      <c r="C85" s="1072" t="s">
        <v>1938</v>
      </c>
      <c r="G85" s="1038" t="s">
        <v>668</v>
      </c>
      <c r="L85" s="2684" t="s">
        <v>1941</v>
      </c>
      <c r="M85" s="2685"/>
      <c r="N85" s="1127">
        <v>10000</v>
      </c>
    </row>
    <row r="86" spans="2:14" ht="15" customHeight="1" thickBot="1">
      <c r="C86" s="1072" t="s">
        <v>1939</v>
      </c>
      <c r="G86" s="1039" t="str">
        <f>Application!T193</f>
        <v>Highest Resource</v>
      </c>
    </row>
    <row r="87" spans="2:14" ht="15" customHeight="1">
      <c r="C87" s="2660" t="s">
        <v>2206</v>
      </c>
      <c r="D87" s="2660"/>
      <c r="E87" s="2660"/>
      <c r="F87" s="2660"/>
      <c r="G87" s="1038" t="s">
        <v>668</v>
      </c>
      <c r="L87" s="1121" t="str">
        <f>'Points System'!H651</f>
        <v>(i)</v>
      </c>
      <c r="M87" s="2680" t="s">
        <v>1395</v>
      </c>
      <c r="N87" s="2681"/>
    </row>
    <row r="88" spans="2:14" ht="15" customHeight="1">
      <c r="C88" s="2660"/>
      <c r="D88" s="2660"/>
      <c r="E88" s="2660"/>
      <c r="F88" s="2660"/>
      <c r="L88" s="1122" t="str">
        <f>'Points System'!H663</f>
        <v>(i)</v>
      </c>
      <c r="M88" s="2674" t="s">
        <v>1927</v>
      </c>
      <c r="N88" s="2675"/>
    </row>
    <row r="89" spans="2:14" ht="15" customHeight="1">
      <c r="C89" s="1072"/>
      <c r="L89" s="1122" t="str">
        <f>'Points System'!H698</f>
        <v>(i)</v>
      </c>
      <c r="M89" s="2674" t="s">
        <v>1928</v>
      </c>
      <c r="N89" s="2675"/>
    </row>
    <row r="90" spans="2:14" ht="15" customHeight="1">
      <c r="E90" s="1079" t="s">
        <v>1970</v>
      </c>
      <c r="G90" s="1074" t="b">
        <f>OR(AND(COUNTIFS(G84:G85,"Yes")&gt;=1,G83="Yes"),G87="Yes")</f>
        <v>1</v>
      </c>
      <c r="L90" s="1122" t="str">
        <f>IF(OR('Points System'!H722="(ii)",'Points System'!H722="(i)"),"(i)","N/A")</f>
        <v>(i)</v>
      </c>
      <c r="M90" s="2674" t="s">
        <v>1929</v>
      </c>
      <c r="N90" s="2675"/>
    </row>
    <row r="91" spans="2:14" ht="15" customHeight="1">
      <c r="E91" s="1079"/>
      <c r="G91" s="1074"/>
      <c r="L91" s="1123" t="str">
        <f>'Points System'!H736</f>
        <v>N/A</v>
      </c>
      <c r="M91" s="2674" t="s">
        <v>1421</v>
      </c>
      <c r="N91" s="2675"/>
    </row>
    <row r="92" spans="2:14" ht="15" customHeight="1">
      <c r="E92" s="1079" t="s">
        <v>1915</v>
      </c>
      <c r="G92" s="1073">
        <f>IFERROR(IF($G$87="Yes",30000,INDEX(N83:N85,MATCH(LEFT(G86,17),L83:L85,0))),0)</f>
        <v>30000</v>
      </c>
      <c r="L92" s="1122" t="str">
        <f>'Points System'!H748</f>
        <v>N/A</v>
      </c>
      <c r="M92" s="2674" t="s">
        <v>1930</v>
      </c>
      <c r="N92" s="2675"/>
    </row>
    <row r="93" spans="2:14" ht="15" customHeight="1">
      <c r="E93" s="1079" t="str">
        <f>E110</f>
        <v>Bedroom-Adjusted Low-Income Units</v>
      </c>
      <c r="F93" s="1107" t="s">
        <v>1963</v>
      </c>
      <c r="G93" s="1108">
        <f>G29</f>
        <v>187</v>
      </c>
      <c r="L93" s="1122" t="str">
        <f>'Points System'!H764</f>
        <v>(i)</v>
      </c>
      <c r="M93" s="2674" t="s">
        <v>1931</v>
      </c>
      <c r="N93" s="2675"/>
    </row>
    <row r="94" spans="2:14" ht="15" customHeight="1" thickBot="1">
      <c r="D94" s="1041"/>
      <c r="E94" s="1112" t="s">
        <v>2209</v>
      </c>
      <c r="F94" s="1041"/>
      <c r="G94" s="1117">
        <f>G93*G92*G90</f>
        <v>5610000</v>
      </c>
      <c r="L94" s="1124" t="str">
        <f>'Points System'!H776</f>
        <v>(i)</v>
      </c>
      <c r="M94" s="2676" t="s">
        <v>1424</v>
      </c>
      <c r="N94" s="267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187</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187</v>
      </c>
    </row>
    <row r="111" spans="2:9" ht="15" customHeight="1">
      <c r="E111" s="1112" t="s">
        <v>1932</v>
      </c>
      <c r="F111" s="1041"/>
      <c r="G111" s="1117">
        <f>G108*G109*G110</f>
        <v>5236000</v>
      </c>
    </row>
    <row r="112" spans="2:9" ht="15" customHeight="1">
      <c r="C112" s="1072"/>
      <c r="G112" s="1108"/>
    </row>
    <row r="113" spans="2:7" ht="15" customHeight="1">
      <c r="E113" s="1079" t="s">
        <v>1968</v>
      </c>
      <c r="G113" s="1108">
        <f>COUNTIFS(L87:L94,"(i)")</f>
        <v>6</v>
      </c>
    </row>
    <row r="114" spans="2:7" ht="15" customHeight="1">
      <c r="E114" s="1079" t="s">
        <v>1915</v>
      </c>
      <c r="F114" s="1107" t="s">
        <v>1963</v>
      </c>
      <c r="G114" s="1118">
        <v>4000</v>
      </c>
    </row>
    <row r="115" spans="2:7" ht="15" customHeight="1">
      <c r="E115" s="1112" t="s">
        <v>1933</v>
      </c>
      <c r="F115" s="1041"/>
      <c r="G115" s="1117">
        <f>G110*G113*G114</f>
        <v>4488000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544</v>
      </c>
    </row>
    <row r="121" spans="2:7">
      <c r="C121" s="1072" t="s">
        <v>2093</v>
      </c>
      <c r="G121" s="1038"/>
    </row>
    <row r="123" spans="2:7">
      <c r="B123" s="1073"/>
      <c r="C123" s="1072"/>
      <c r="E123" s="1079" t="s">
        <v>1970</v>
      </c>
      <c r="G123" s="1074" t="b">
        <f>COUNTIFS(G118:G121,"Yes")&gt;=1</f>
        <v>1</v>
      </c>
    </row>
    <row r="124" spans="2:7">
      <c r="E124" s="1072"/>
    </row>
    <row r="125" spans="2:7" ht="15">
      <c r="E125" s="1079" t="s">
        <v>1967</v>
      </c>
      <c r="F125" s="1107" t="s">
        <v>1963</v>
      </c>
      <c r="G125" s="1108">
        <f>G29</f>
        <v>187</v>
      </c>
    </row>
    <row r="126" spans="2:7" ht="15">
      <c r="E126" s="1079" t="s">
        <v>1915</v>
      </c>
      <c r="F126" s="1107" t="s">
        <v>1963</v>
      </c>
      <c r="G126" s="1118">
        <v>25000</v>
      </c>
    </row>
    <row r="127" spans="2:7" ht="15">
      <c r="E127" s="1112" t="s">
        <v>1934</v>
      </c>
      <c r="F127" s="1041"/>
      <c r="G127" s="1117">
        <f>G123*G126*G110</f>
        <v>4675000</v>
      </c>
    </row>
    <row r="128" spans="2:7">
      <c r="C128" s="1072"/>
      <c r="E128" s="1072"/>
    </row>
    <row r="129" spans="2:9" ht="15">
      <c r="E129" s="1112" t="s">
        <v>2211</v>
      </c>
      <c r="G129" s="1117">
        <f>G127+G115+G111</f>
        <v>14399000</v>
      </c>
    </row>
    <row r="131" spans="2:9" ht="15">
      <c r="B131" s="1061" t="s">
        <v>139</v>
      </c>
      <c r="C131" s="1062"/>
      <c r="D131" s="1062"/>
      <c r="E131" s="1062"/>
      <c r="F131" s="1062"/>
      <c r="G131" s="1062"/>
      <c r="H131" s="1062"/>
      <c r="I131" s="1063"/>
    </row>
    <row r="133" spans="2:9">
      <c r="C133" s="2656" t="s">
        <v>2178</v>
      </c>
      <c r="D133" s="2656"/>
      <c r="E133" s="2656"/>
      <c r="F133" s="2656"/>
    </row>
    <row r="134" spans="2:9">
      <c r="C134" s="2656"/>
      <c r="D134" s="2656"/>
      <c r="E134" s="2656"/>
      <c r="F134" s="2656"/>
      <c r="G134" s="1038"/>
    </row>
    <row r="135" spans="2:9" ht="14.25" customHeight="1"/>
    <row r="136" spans="2:9">
      <c r="C136" s="1039" t="s">
        <v>2180</v>
      </c>
      <c r="G136" s="2658"/>
      <c r="H136" s="2658"/>
    </row>
    <row r="137" spans="2:9">
      <c r="G137" s="2658"/>
      <c r="H137" s="2658"/>
    </row>
    <row r="138" spans="2:9">
      <c r="G138" s="2659"/>
      <c r="H138" s="2659"/>
    </row>
    <row r="140" spans="2:9">
      <c r="C140" s="2656" t="s">
        <v>2585</v>
      </c>
      <c r="D140" s="2656"/>
      <c r="E140" s="2656"/>
      <c r="F140" s="2656"/>
    </row>
    <row r="141" spans="2:9">
      <c r="C141" s="2656"/>
      <c r="D141" s="2656"/>
      <c r="E141" s="2656"/>
      <c r="F141" s="2656"/>
      <c r="G141" s="1038"/>
    </row>
    <row r="142" spans="2:9">
      <c r="C142" s="2656"/>
      <c r="D142" s="2656"/>
      <c r="E142" s="2656"/>
      <c r="F142" s="2656"/>
    </row>
    <row r="144" spans="2:9">
      <c r="C144" s="2656" t="s">
        <v>2584</v>
      </c>
      <c r="D144" s="2656"/>
      <c r="E144" s="2656"/>
      <c r="F144" s="2656"/>
    </row>
    <row r="145" spans="2:9">
      <c r="C145" s="2656"/>
      <c r="D145" s="2656"/>
      <c r="E145" s="2656"/>
      <c r="F145" s="2656"/>
      <c r="G145" s="1038"/>
    </row>
    <row r="146" spans="2:9">
      <c r="C146" s="2656"/>
      <c r="D146" s="2656"/>
      <c r="E146" s="2656"/>
      <c r="F146" s="2656"/>
    </row>
    <row r="147" spans="2:9">
      <c r="C147" s="2656"/>
      <c r="D147" s="2656"/>
      <c r="E147" s="2656"/>
      <c r="F147" s="2656"/>
    </row>
    <row r="149" spans="2:9" ht="15">
      <c r="B149" s="1061" t="s">
        <v>1972</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1971</v>
      </c>
      <c r="G154" s="1073">
        <f>MEDIAN((Application!CU160:CU217))</f>
        <v>560000</v>
      </c>
    </row>
    <row r="155" spans="2:9" ht="15">
      <c r="D155" s="1041"/>
      <c r="E155" s="1112" t="s">
        <v>1973</v>
      </c>
      <c r="F155" s="1128"/>
      <c r="G155" s="1129">
        <f>((G153-G154)/G154)*0.25</f>
        <v>2.1785714285714287E-2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51" t="s">
        <v>2213</v>
      </c>
      <c r="D160" s="2651"/>
      <c r="E160" s="2651"/>
      <c r="F160" s="2651"/>
    </row>
    <row r="161" spans="2:7">
      <c r="B161" s="1040"/>
      <c r="C161" s="2651"/>
      <c r="D161" s="2651"/>
      <c r="E161" s="2651"/>
      <c r="F161" s="2651"/>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2348175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907</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16</v>
      </c>
      <c r="C4" s="1155"/>
      <c r="D4" s="428">
        <f>Application!O726</f>
        <v>776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7</v>
      </c>
      <c r="C5" s="1155"/>
      <c r="D5" s="428">
        <f>Application!O727</f>
        <v>1344</v>
      </c>
      <c r="E5" s="429"/>
      <c r="F5" s="1078"/>
      <c r="G5" s="428">
        <f t="shared" ref="G5:G38" si="2">F5*B5</f>
        <v>0</v>
      </c>
      <c r="H5" s="429"/>
      <c r="I5" s="428" t="str">
        <f t="shared" si="0"/>
        <v/>
      </c>
      <c r="J5" s="428" t="str">
        <f t="shared" si="1"/>
        <v/>
      </c>
      <c r="K5" s="204"/>
      <c r="L5" s="305"/>
    </row>
    <row r="6" spans="1:12">
      <c r="A6" s="428" t="str">
        <f>Application!B728</f>
        <v>1 Bedroom</v>
      </c>
      <c r="B6" s="1077">
        <f>Application!G728</f>
        <v>38</v>
      </c>
      <c r="C6" s="1155"/>
      <c r="D6" s="428">
        <f>Application!O728</f>
        <v>1628</v>
      </c>
      <c r="E6" s="429"/>
      <c r="F6" s="1078"/>
      <c r="G6" s="428">
        <f t="shared" si="2"/>
        <v>0</v>
      </c>
      <c r="H6" s="429"/>
      <c r="I6" s="428" t="str">
        <f t="shared" si="0"/>
        <v/>
      </c>
      <c r="J6" s="428" t="str">
        <f t="shared" si="1"/>
        <v/>
      </c>
      <c r="K6" s="204"/>
      <c r="L6" s="305"/>
    </row>
    <row r="7" spans="1:12">
      <c r="A7" s="428" t="str">
        <f>Application!B729</f>
        <v>2 Bedrooms</v>
      </c>
      <c r="B7" s="1077">
        <f>Application!G729</f>
        <v>5</v>
      </c>
      <c r="C7" s="1155"/>
      <c r="D7" s="428">
        <f>Application!O729</f>
        <v>1599</v>
      </c>
      <c r="E7" s="429"/>
      <c r="F7" s="1078"/>
      <c r="G7" s="428">
        <f t="shared" si="2"/>
        <v>0</v>
      </c>
      <c r="H7" s="429"/>
      <c r="I7" s="428" t="str">
        <f t="shared" si="0"/>
        <v/>
      </c>
      <c r="J7" s="428" t="str">
        <f t="shared" si="1"/>
        <v/>
      </c>
      <c r="K7" s="204"/>
      <c r="L7" s="305"/>
    </row>
    <row r="8" spans="1:12">
      <c r="A8" s="428" t="str">
        <f>Application!B730</f>
        <v>2 Bedrooms</v>
      </c>
      <c r="B8" s="1077">
        <f>Application!G730</f>
        <v>17</v>
      </c>
      <c r="C8" s="1155"/>
      <c r="D8" s="428">
        <f>Application!O730</f>
        <v>1939.6</v>
      </c>
      <c r="E8" s="429"/>
      <c r="F8" s="1078"/>
      <c r="G8" s="428">
        <f t="shared" si="2"/>
        <v>0</v>
      </c>
      <c r="H8" s="429"/>
      <c r="I8" s="428" t="str">
        <f t="shared" si="0"/>
        <v/>
      </c>
      <c r="J8" s="428" t="str">
        <f t="shared" si="1"/>
        <v/>
      </c>
      <c r="K8" s="204"/>
      <c r="L8" s="305"/>
    </row>
    <row r="9" spans="1:12">
      <c r="A9" s="428" t="str">
        <f>Application!B731</f>
        <v>2 Bedrooms</v>
      </c>
      <c r="B9" s="1077">
        <f>Application!G731</f>
        <v>26</v>
      </c>
      <c r="C9" s="1155"/>
      <c r="D9" s="428">
        <f>Application!O731</f>
        <v>2281</v>
      </c>
      <c r="E9" s="429"/>
      <c r="F9" s="1078"/>
      <c r="G9" s="428">
        <f t="shared" si="2"/>
        <v>0</v>
      </c>
      <c r="H9" s="429"/>
      <c r="I9" s="428" t="str">
        <f t="shared" si="0"/>
        <v/>
      </c>
      <c r="J9" s="428" t="str">
        <f t="shared" si="1"/>
        <v/>
      </c>
      <c r="K9" s="204"/>
      <c r="L9" s="305"/>
    </row>
    <row r="10" spans="1:12">
      <c r="A10" s="428" t="str">
        <f>Application!B732</f>
        <v>3 Bedrooms</v>
      </c>
      <c r="B10" s="1077">
        <f>Application!G732</f>
        <v>5</v>
      </c>
      <c r="C10" s="1155"/>
      <c r="D10" s="428">
        <f>Application!O732</f>
        <v>1838</v>
      </c>
      <c r="E10" s="429"/>
      <c r="F10" s="1078"/>
      <c r="G10" s="428">
        <f t="shared" si="2"/>
        <v>0</v>
      </c>
      <c r="H10" s="429"/>
      <c r="I10" s="428" t="str">
        <f t="shared" si="0"/>
        <v/>
      </c>
      <c r="J10" s="428" t="str">
        <f t="shared" si="1"/>
        <v/>
      </c>
      <c r="K10" s="204"/>
      <c r="L10" s="305"/>
    </row>
    <row r="11" spans="1:12">
      <c r="A11" s="428" t="str">
        <f>Application!B733</f>
        <v>3 Bedrooms</v>
      </c>
      <c r="B11" s="1077">
        <f>Application!G733</f>
        <v>39</v>
      </c>
      <c r="C11" s="1155"/>
      <c r="D11" s="428">
        <f>Application!O733</f>
        <v>2625.6</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295550.59999999998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687" t="s">
        <v>2423</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2203</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9"/>
  <sheetViews>
    <sheetView zoomScale="90" zoomScaleNormal="90" workbookViewId="0">
      <selection activeCell="M24" sqref="M24"/>
    </sheetView>
  </sheetViews>
  <sheetFormatPr defaultColWidth="0" defaultRowHeight="12.75" zeroHeight="1"/>
  <cols>
    <col min="1" max="1" width="3.7109375" customWidth="1"/>
    <col min="2" max="2" width="30.5703125" customWidth="1"/>
    <col min="3" max="3" width="15.710937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3546607.1999999997</v>
      </c>
      <c r="G4" s="219">
        <f>E4*$C$4</f>
        <v>3635272.3799999994</v>
      </c>
      <c r="I4" s="219">
        <f>G4*$C$4</f>
        <v>3726154.1894999989</v>
      </c>
      <c r="K4" s="219">
        <f>I4*$C$4</f>
        <v>3819308.0442374987</v>
      </c>
      <c r="M4" s="219">
        <f>K4*$C$4</f>
        <v>3914790.7453434356</v>
      </c>
      <c r="O4" s="219">
        <f>M4*$C$4</f>
        <v>4012660.513977021</v>
      </c>
      <c r="Q4" s="219">
        <f>O4*$C$4</f>
        <v>4112977.0268264459</v>
      </c>
      <c r="S4" s="219">
        <f>Q4*$C$4</f>
        <v>4215801.452497107</v>
      </c>
      <c r="U4" s="219">
        <f>S4*$C$4</f>
        <v>4321196.4888095343</v>
      </c>
      <c r="W4" s="219">
        <f>U4*$C$4</f>
        <v>4429226.4010297721</v>
      </c>
      <c r="Y4" s="219">
        <f>W4*$C$4</f>
        <v>4539957.0610555159</v>
      </c>
      <c r="AA4" s="219">
        <f>Y4*$C$4</f>
        <v>4653455.9875819031</v>
      </c>
      <c r="AC4" s="219">
        <f>AA4*$C$4</f>
        <v>4769792.3872714499</v>
      </c>
      <c r="AE4" s="219">
        <f>AC4*$C$4</f>
        <v>4889037.1969532361</v>
      </c>
      <c r="AG4" s="219">
        <f>AE4*$C$4</f>
        <v>5011263.1268770667</v>
      </c>
    </row>
    <row r="5" spans="1:34" s="210" customFormat="1" ht="14.25">
      <c r="B5" s="210" t="s">
        <v>837</v>
      </c>
      <c r="C5" s="238">
        <f>IF(Application!$D$211="Special Needs",(((0.1*Application!$T$212)+(0.05*(1-Application!$T$212)))),0.05)</f>
        <v>0.05</v>
      </c>
      <c r="E5" s="221">
        <f>-E4*$C$5</f>
        <v>-177330.36</v>
      </c>
      <c r="F5" s="221"/>
      <c r="G5" s="221">
        <f>-G4*$C$5</f>
        <v>-181763.61899999998</v>
      </c>
      <c r="H5" s="221"/>
      <c r="I5" s="221">
        <f>-I4*$C$5</f>
        <v>-186307.70947499995</v>
      </c>
      <c r="J5" s="221"/>
      <c r="K5" s="221">
        <f>-K4*$C$5</f>
        <v>-190965.40221187496</v>
      </c>
      <c r="L5" s="221"/>
      <c r="M5" s="221">
        <f>-M4*$C$5</f>
        <v>-195739.53726717178</v>
      </c>
      <c r="N5" s="221"/>
      <c r="O5" s="221">
        <f>-O4*$C$5</f>
        <v>-200633.02569885107</v>
      </c>
      <c r="P5" s="221"/>
      <c r="Q5" s="221">
        <f>-Q4*$C$5</f>
        <v>-205648.8513413223</v>
      </c>
      <c r="R5" s="221"/>
      <c r="S5" s="221">
        <f>-S4*$C$5</f>
        <v>-210790.07262485535</v>
      </c>
      <c r="T5" s="221"/>
      <c r="U5" s="221">
        <f>-U4*$C$5</f>
        <v>-216059.82444047672</v>
      </c>
      <c r="V5" s="221"/>
      <c r="W5" s="221">
        <f>-W4*$C$5</f>
        <v>-221461.32005148861</v>
      </c>
      <c r="X5" s="221"/>
      <c r="Y5" s="221">
        <f>-Y4*$C$5</f>
        <v>-226997.85305277581</v>
      </c>
      <c r="Z5" s="221"/>
      <c r="AA5" s="221">
        <f>-AA4*$C$5</f>
        <v>-232672.79937909517</v>
      </c>
      <c r="AB5" s="221"/>
      <c r="AC5" s="221">
        <f>-AC4*$C$5</f>
        <v>-238489.61936357251</v>
      </c>
      <c r="AD5" s="221"/>
      <c r="AE5" s="221">
        <f>-AE4*$C$5</f>
        <v>-244451.85984766181</v>
      </c>
      <c r="AF5" s="221"/>
      <c r="AG5" s="221">
        <f>-AG4*$C$5</f>
        <v>-250563.15634385333</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139575</v>
      </c>
      <c r="F8" s="222"/>
      <c r="G8" s="222">
        <f>E8*$C$8</f>
        <v>143064.375</v>
      </c>
      <c r="H8" s="222"/>
      <c r="I8" s="222">
        <f>G8*$C$8</f>
        <v>146640.984375</v>
      </c>
      <c r="J8" s="222"/>
      <c r="K8" s="222">
        <f>I8*$C$8</f>
        <v>150307.00898437499</v>
      </c>
      <c r="L8" s="222"/>
      <c r="M8" s="222">
        <f>K8*$C$8</f>
        <v>154064.68420898434</v>
      </c>
      <c r="N8" s="222"/>
      <c r="O8" s="222">
        <f>M8*$C$8</f>
        <v>157916.30131420895</v>
      </c>
      <c r="P8" s="222"/>
      <c r="Q8" s="222">
        <f>O8*$C$8</f>
        <v>161864.20884706415</v>
      </c>
      <c r="R8" s="222"/>
      <c r="S8" s="222">
        <f>Q8*$C$8</f>
        <v>165910.81406824072</v>
      </c>
      <c r="T8" s="222"/>
      <c r="U8" s="222">
        <f>S8*$C$8</f>
        <v>170058.58441994674</v>
      </c>
      <c r="V8" s="222"/>
      <c r="W8" s="222">
        <f>U8*$C$8</f>
        <v>174310.0490304454</v>
      </c>
      <c r="X8" s="222"/>
      <c r="Y8" s="222">
        <f>W8*$C$8</f>
        <v>178667.80025620651</v>
      </c>
      <c r="Z8" s="222"/>
      <c r="AA8" s="222">
        <f>Y8*$C$8</f>
        <v>183134.49526261166</v>
      </c>
      <c r="AB8" s="222"/>
      <c r="AC8" s="222">
        <f>AA8*$C$8</f>
        <v>187712.85764417693</v>
      </c>
      <c r="AD8" s="222"/>
      <c r="AE8" s="222">
        <f>AC8*$C$8</f>
        <v>192405.67908528133</v>
      </c>
      <c r="AF8" s="222"/>
      <c r="AG8" s="222">
        <f>AE8*$C$8</f>
        <v>197215.82106241334</v>
      </c>
    </row>
    <row r="9" spans="1:34" s="210" customFormat="1" ht="14.25">
      <c r="B9" s="210" t="s">
        <v>837</v>
      </c>
      <c r="C9" s="238">
        <f>IF(Application!$D$211="Special Needs",(((0.1*Application!$T$212)+(0.05*(1-Application!$T$212)))),0.05)</f>
        <v>0.05</v>
      </c>
      <c r="E9" s="221">
        <f>-E8*$C$9</f>
        <v>-6978.75</v>
      </c>
      <c r="F9" s="221"/>
      <c r="G9" s="221">
        <f>-G8*$C$9</f>
        <v>-7153.21875</v>
      </c>
      <c r="H9" s="221"/>
      <c r="I9" s="221">
        <f>-I8*$C$9</f>
        <v>-7332.0492187500004</v>
      </c>
      <c r="J9" s="221"/>
      <c r="K9" s="221">
        <f>-K8*$C$9</f>
        <v>-7515.3504492187494</v>
      </c>
      <c r="L9" s="221"/>
      <c r="M9" s="221">
        <f>-M8*$C$9</f>
        <v>-7703.2342104492172</v>
      </c>
      <c r="N9" s="221"/>
      <c r="O9" s="221">
        <f>-O8*$C$9</f>
        <v>-7895.8150657104479</v>
      </c>
      <c r="P9" s="221"/>
      <c r="Q9" s="221">
        <f>-Q8*$C$9</f>
        <v>-8093.2104423532073</v>
      </c>
      <c r="R9" s="221"/>
      <c r="S9" s="221">
        <f>-S8*$C$9</f>
        <v>-8295.5407034120362</v>
      </c>
      <c r="T9" s="221"/>
      <c r="U9" s="221">
        <f>-U8*$C$9</f>
        <v>-8502.9292209973373</v>
      </c>
      <c r="V9" s="221"/>
      <c r="W9" s="221">
        <f>-W8*$C$9</f>
        <v>-8715.5024515222703</v>
      </c>
      <c r="X9" s="221"/>
      <c r="Y9" s="221">
        <f>-Y8*$C$9</f>
        <v>-8933.3900128103251</v>
      </c>
      <c r="Z9" s="221"/>
      <c r="AA9" s="221">
        <f>-AA8*$C$9</f>
        <v>-9156.7247631305836</v>
      </c>
      <c r="AB9" s="221"/>
      <c r="AC9" s="221">
        <f>-AC8*$C$9</f>
        <v>-9385.6428822088474</v>
      </c>
      <c r="AD9" s="221"/>
      <c r="AE9" s="221">
        <f>-AE8*$C$9</f>
        <v>-9620.2839542640668</v>
      </c>
      <c r="AF9" s="221"/>
      <c r="AG9" s="221">
        <f>-AG8*$C$9</f>
        <v>-9860.7910531206671</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3501873.09</v>
      </c>
      <c r="G11" s="223">
        <f>SUM(G4:G10)</f>
        <v>3589419.9172499995</v>
      </c>
      <c r="I11" s="223">
        <f>SUM(I4:I10)</f>
        <v>3679155.4151812489</v>
      </c>
      <c r="K11" s="223">
        <f>SUM(K4:K10)</f>
        <v>3771134.3005607794</v>
      </c>
      <c r="M11" s="223">
        <f>SUM(M4:M10)</f>
        <v>3865412.658074799</v>
      </c>
      <c r="O11" s="223">
        <f>SUM(O4:O10)</f>
        <v>3962047.9745266689</v>
      </c>
      <c r="Q11" s="223">
        <f>SUM(Q4:Q10)</f>
        <v>4061099.1738898349</v>
      </c>
      <c r="S11" s="223">
        <f>SUM(S4:S10)</f>
        <v>4162626.6532370802</v>
      </c>
      <c r="U11" s="223">
        <f>SUM(U4:U10)</f>
        <v>4266692.3195680073</v>
      </c>
      <c r="W11" s="223">
        <f>SUM(W4:W10)</f>
        <v>4373359.6275572069</v>
      </c>
      <c r="Y11" s="223">
        <f>SUM(Y4:Y10)</f>
        <v>4482693.6182461372</v>
      </c>
      <c r="AA11" s="223">
        <f>SUM(AA4:AA10)</f>
        <v>4594760.9587022886</v>
      </c>
      <c r="AC11" s="223">
        <f>SUM(AC4:AC10)</f>
        <v>4709629.9826698452</v>
      </c>
      <c r="AE11" s="223">
        <f>SUM(AE4:AE10)</f>
        <v>4827370.7322365921</v>
      </c>
      <c r="AG11" s="223">
        <f>SUM(AG4:AG10)</f>
        <v>4948055.0005425056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104800</v>
      </c>
      <c r="G15" s="219">
        <f>E15*$C$14</f>
        <v>108467.99999999999</v>
      </c>
      <c r="I15" s="219">
        <f>G15*$C$14</f>
        <v>112264.37999999998</v>
      </c>
      <c r="K15" s="219">
        <f>I15*$C$14</f>
        <v>116193.63329999997</v>
      </c>
      <c r="M15" s="219">
        <f>K15*$C$14</f>
        <v>120260.41046549997</v>
      </c>
      <c r="O15" s="219">
        <f>M15*$C$14</f>
        <v>124469.52483179246</v>
      </c>
      <c r="Q15" s="219">
        <f>O15*$C$14</f>
        <v>128825.95820090518</v>
      </c>
      <c r="S15" s="219">
        <f>Q15*$C$14</f>
        <v>133334.86673793686</v>
      </c>
      <c r="U15" s="219">
        <f>S15*$C$14</f>
        <v>138001.58707376465</v>
      </c>
      <c r="W15" s="219">
        <f>U15*$C$14</f>
        <v>142831.6426213464</v>
      </c>
      <c r="Y15" s="219">
        <f>W15*$C$14</f>
        <v>147830.75011309353</v>
      </c>
      <c r="AA15" s="219">
        <f>Y15*$C$14</f>
        <v>153004.82636705178</v>
      </c>
      <c r="AC15" s="219">
        <f>AA15*$C$14</f>
        <v>158359.99528989856</v>
      </c>
      <c r="AE15" s="219">
        <f>AC15*$C$14</f>
        <v>163902.59512504502</v>
      </c>
      <c r="AG15" s="219">
        <f>AE15*$C$14</f>
        <v>169639.18595442158</v>
      </c>
    </row>
    <row r="16" spans="1:34" s="210" customFormat="1" ht="14.25">
      <c r="A16" s="210" t="s">
        <v>344</v>
      </c>
      <c r="C16" s="233"/>
      <c r="E16" s="222">
        <f>Application!W857</f>
        <v>154258.71239999996</v>
      </c>
      <c r="F16" s="222"/>
      <c r="G16" s="222">
        <f t="shared" ref="G16:AG21" si="0">E16*$C$14</f>
        <v>159657.76733399995</v>
      </c>
      <c r="H16" s="222"/>
      <c r="I16" s="222">
        <f t="shared" si="0"/>
        <v>165245.78919068992</v>
      </c>
      <c r="J16" s="222"/>
      <c r="K16" s="222">
        <f t="shared" si="0"/>
        <v>171029.39181236405</v>
      </c>
      <c r="L16" s="222"/>
      <c r="M16" s="222">
        <f t="shared" si="0"/>
        <v>177015.42052579677</v>
      </c>
      <c r="N16" s="222"/>
      <c r="O16" s="222">
        <f t="shared" si="0"/>
        <v>183210.96024419964</v>
      </c>
      <c r="P16" s="222"/>
      <c r="Q16" s="222">
        <f t="shared" si="0"/>
        <v>189623.34385274662</v>
      </c>
      <c r="R16" s="222"/>
      <c r="S16" s="222">
        <f t="shared" si="0"/>
        <v>196260.16088759273</v>
      </c>
      <c r="T16" s="222"/>
      <c r="U16" s="222">
        <f t="shared" si="0"/>
        <v>203129.26651865846</v>
      </c>
      <c r="V16" s="222"/>
      <c r="W16" s="222">
        <f t="shared" si="0"/>
        <v>210238.79084681149</v>
      </c>
      <c r="X16" s="222"/>
      <c r="Y16" s="222">
        <f t="shared" si="0"/>
        <v>217597.14852644986</v>
      </c>
      <c r="Z16" s="222"/>
      <c r="AA16" s="222">
        <f t="shared" si="0"/>
        <v>225213.04872487558</v>
      </c>
      <c r="AB16" s="222"/>
      <c r="AC16" s="222">
        <f t="shared" si="0"/>
        <v>233095.50543024621</v>
      </c>
      <c r="AD16" s="222"/>
      <c r="AE16" s="222">
        <f t="shared" si="0"/>
        <v>241253.84812030481</v>
      </c>
      <c r="AF16" s="222"/>
      <c r="AG16" s="222">
        <f t="shared" si="0"/>
        <v>249697.73280451546</v>
      </c>
    </row>
    <row r="17" spans="1:33" s="210" customFormat="1" ht="14.25">
      <c r="A17" s="210" t="s">
        <v>560</v>
      </c>
      <c r="C17" s="233"/>
      <c r="E17" s="222">
        <f>Application!W863</f>
        <v>194988.67569999918</v>
      </c>
      <c r="F17" s="222"/>
      <c r="G17" s="222">
        <f t="shared" si="0"/>
        <v>201813.27934949912</v>
      </c>
      <c r="H17" s="222"/>
      <c r="I17" s="222">
        <f t="shared" si="0"/>
        <v>208876.74412673156</v>
      </c>
      <c r="J17" s="222"/>
      <c r="K17" s="222">
        <f t="shared" si="0"/>
        <v>216187.43017116716</v>
      </c>
      <c r="L17" s="222"/>
      <c r="M17" s="222">
        <f t="shared" si="0"/>
        <v>223753.99022715798</v>
      </c>
      <c r="N17" s="222"/>
      <c r="O17" s="222">
        <f t="shared" si="0"/>
        <v>231585.3798851085</v>
      </c>
      <c r="P17" s="222"/>
      <c r="Q17" s="222">
        <f t="shared" si="0"/>
        <v>239690.86818108728</v>
      </c>
      <c r="R17" s="222"/>
      <c r="S17" s="222">
        <f t="shared" si="0"/>
        <v>248080.04856742531</v>
      </c>
      <c r="T17" s="222"/>
      <c r="U17" s="222">
        <f t="shared" si="0"/>
        <v>256762.85026728519</v>
      </c>
      <c r="V17" s="222"/>
      <c r="W17" s="222">
        <f t="shared" si="0"/>
        <v>265749.55002664018</v>
      </c>
      <c r="X17" s="222"/>
      <c r="Y17" s="222">
        <f t="shared" si="0"/>
        <v>275050.78427757259</v>
      </c>
      <c r="Z17" s="222"/>
      <c r="AA17" s="222">
        <f t="shared" si="0"/>
        <v>284677.5617272876</v>
      </c>
      <c r="AB17" s="222"/>
      <c r="AC17" s="222">
        <f t="shared" si="0"/>
        <v>294641.27638774266</v>
      </c>
      <c r="AD17" s="222"/>
      <c r="AE17" s="222">
        <f t="shared" si="0"/>
        <v>304953.72106131364</v>
      </c>
      <c r="AF17" s="222"/>
      <c r="AG17" s="222">
        <f t="shared" si="0"/>
        <v>315627.10129845957</v>
      </c>
    </row>
    <row r="18" spans="1:33" s="210" customFormat="1" ht="14.25">
      <c r="A18" s="210" t="s">
        <v>841</v>
      </c>
      <c r="C18" s="233"/>
      <c r="E18" s="222">
        <f>Application!W870</f>
        <v>378000</v>
      </c>
      <c r="F18" s="222"/>
      <c r="G18" s="222">
        <f t="shared" si="0"/>
        <v>391229.99999999994</v>
      </c>
      <c r="H18" s="222"/>
      <c r="I18" s="222">
        <f t="shared" si="0"/>
        <v>404923.04999999993</v>
      </c>
      <c r="J18" s="222"/>
      <c r="K18" s="222">
        <f t="shared" si="0"/>
        <v>419095.35674999992</v>
      </c>
      <c r="L18" s="222"/>
      <c r="M18" s="222">
        <f t="shared" si="0"/>
        <v>433763.6942362499</v>
      </c>
      <c r="N18" s="222"/>
      <c r="O18" s="222">
        <f t="shared" si="0"/>
        <v>448945.42353451863</v>
      </c>
      <c r="P18" s="222"/>
      <c r="Q18" s="222">
        <f t="shared" si="0"/>
        <v>464658.51335822674</v>
      </c>
      <c r="R18" s="222"/>
      <c r="S18" s="222">
        <f t="shared" si="0"/>
        <v>480921.56132576463</v>
      </c>
      <c r="T18" s="222"/>
      <c r="U18" s="222">
        <f t="shared" si="0"/>
        <v>497753.81597216637</v>
      </c>
      <c r="V18" s="222"/>
      <c r="W18" s="222">
        <f t="shared" si="0"/>
        <v>515175.19953119213</v>
      </c>
      <c r="X18" s="222"/>
      <c r="Y18" s="222">
        <f t="shared" si="0"/>
        <v>533206.33151478379</v>
      </c>
      <c r="Z18" s="222"/>
      <c r="AA18" s="222">
        <f t="shared" si="0"/>
        <v>551868.5531178012</v>
      </c>
      <c r="AB18" s="222"/>
      <c r="AC18" s="222">
        <f t="shared" si="0"/>
        <v>571183.95247692417</v>
      </c>
      <c r="AD18" s="222"/>
      <c r="AE18" s="222">
        <f t="shared" si="0"/>
        <v>591175.39081361645</v>
      </c>
      <c r="AF18" s="222"/>
      <c r="AG18" s="222">
        <f t="shared" si="0"/>
        <v>611866.52949209302</v>
      </c>
    </row>
    <row r="19" spans="1:33" s="210" customFormat="1" ht="14.25">
      <c r="A19" s="210" t="s">
        <v>155</v>
      </c>
      <c r="C19" s="233"/>
      <c r="E19" s="222">
        <f>Application!W872</f>
        <v>154000</v>
      </c>
      <c r="F19" s="222"/>
      <c r="G19" s="222">
        <f t="shared" si="0"/>
        <v>159390</v>
      </c>
      <c r="H19" s="222"/>
      <c r="I19" s="222">
        <f t="shared" si="0"/>
        <v>164968.65</v>
      </c>
      <c r="J19" s="222"/>
      <c r="K19" s="222">
        <f t="shared" si="0"/>
        <v>170742.55274999997</v>
      </c>
      <c r="L19" s="222"/>
      <c r="M19" s="222">
        <f t="shared" si="0"/>
        <v>176718.54209624996</v>
      </c>
      <c r="N19" s="222"/>
      <c r="O19" s="222">
        <f t="shared" si="0"/>
        <v>182903.69106961871</v>
      </c>
      <c r="P19" s="222"/>
      <c r="Q19" s="222">
        <f t="shared" si="0"/>
        <v>189305.32025705534</v>
      </c>
      <c r="R19" s="222"/>
      <c r="S19" s="222">
        <f t="shared" si="0"/>
        <v>195931.00646605226</v>
      </c>
      <c r="T19" s="222"/>
      <c r="U19" s="222">
        <f t="shared" si="0"/>
        <v>202788.59169236408</v>
      </c>
      <c r="V19" s="222"/>
      <c r="W19" s="222">
        <f t="shared" si="0"/>
        <v>209886.19240159681</v>
      </c>
      <c r="X19" s="222"/>
      <c r="Y19" s="222">
        <f t="shared" si="0"/>
        <v>217232.20913565269</v>
      </c>
      <c r="Z19" s="222"/>
      <c r="AA19" s="222">
        <f t="shared" si="0"/>
        <v>224835.33645540051</v>
      </c>
      <c r="AB19" s="222"/>
      <c r="AC19" s="222">
        <f t="shared" si="0"/>
        <v>232704.57323133951</v>
      </c>
      <c r="AD19" s="222"/>
      <c r="AE19" s="222">
        <f t="shared" si="0"/>
        <v>240849.23329443639</v>
      </c>
      <c r="AF19" s="222"/>
      <c r="AG19" s="222">
        <f t="shared" si="0"/>
        <v>249278.95645974163</v>
      </c>
    </row>
    <row r="20" spans="1:33" s="210" customFormat="1" ht="14.25">
      <c r="A20" s="210" t="s">
        <v>390</v>
      </c>
      <c r="C20" s="233"/>
      <c r="E20" s="222">
        <f>Application!W881</f>
        <v>221740</v>
      </c>
      <c r="F20" s="222"/>
      <c r="G20" s="222">
        <f t="shared" si="0"/>
        <v>229500.9</v>
      </c>
      <c r="H20" s="222"/>
      <c r="I20" s="222">
        <f t="shared" si="0"/>
        <v>237533.43149999998</v>
      </c>
      <c r="J20" s="222"/>
      <c r="K20" s="222">
        <f t="shared" si="0"/>
        <v>245847.10160249996</v>
      </c>
      <c r="L20" s="222"/>
      <c r="M20" s="222">
        <f t="shared" si="0"/>
        <v>254451.75015858744</v>
      </c>
      <c r="N20" s="222"/>
      <c r="O20" s="222">
        <f t="shared" si="0"/>
        <v>263357.56141413801</v>
      </c>
      <c r="P20" s="222"/>
      <c r="Q20" s="222">
        <f t="shared" si="0"/>
        <v>272575.07606363279</v>
      </c>
      <c r="R20" s="222"/>
      <c r="S20" s="222">
        <f t="shared" si="0"/>
        <v>282115.20372585993</v>
      </c>
      <c r="T20" s="222"/>
      <c r="U20" s="222">
        <f t="shared" si="0"/>
        <v>291989.235856265</v>
      </c>
      <c r="V20" s="222"/>
      <c r="W20" s="222">
        <f t="shared" si="0"/>
        <v>302208.85911123425</v>
      </c>
      <c r="X20" s="222"/>
      <c r="Y20" s="222">
        <f t="shared" si="0"/>
        <v>312786.16918012744</v>
      </c>
      <c r="Z20" s="222"/>
      <c r="AA20" s="222">
        <f t="shared" si="0"/>
        <v>323733.68510143185</v>
      </c>
      <c r="AB20" s="222"/>
      <c r="AC20" s="222">
        <f t="shared" si="0"/>
        <v>335064.36407998193</v>
      </c>
      <c r="AD20" s="222"/>
      <c r="AE20" s="222">
        <f t="shared" si="0"/>
        <v>346791.61682278127</v>
      </c>
      <c r="AF20" s="222"/>
      <c r="AG20" s="222">
        <f t="shared" si="0"/>
        <v>358929.3234115786</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1207787.3880999992</v>
      </c>
      <c r="G22" s="223">
        <f>SUM(G15:G21)</f>
        <v>1250059.9466834988</v>
      </c>
      <c r="I22" s="223">
        <f>SUM(I15:I21)</f>
        <v>1293812.0448174214</v>
      </c>
      <c r="K22" s="223">
        <f>SUM(K15:K21)</f>
        <v>1339095.4663860309</v>
      </c>
      <c r="M22" s="223">
        <f>SUM(M15:M21)</f>
        <v>1385963.8077095421</v>
      </c>
      <c r="O22" s="223">
        <f>SUM(O15:O21)</f>
        <v>1434472.5409793758</v>
      </c>
      <c r="Q22" s="223">
        <f>SUM(Q15:Q21)</f>
        <v>1484679.0799136539</v>
      </c>
      <c r="S22" s="223">
        <f>SUM(S15:S21)</f>
        <v>1536642.8477106318</v>
      </c>
      <c r="U22" s="223">
        <f>SUM(U15:U21)</f>
        <v>1590425.3473805038</v>
      </c>
      <c r="W22" s="223">
        <f>SUM(W15:W21)</f>
        <v>1646090.2345388213</v>
      </c>
      <c r="Y22" s="223">
        <f>SUM(Y15:Y21)</f>
        <v>1703703.3927476802</v>
      </c>
      <c r="AA22" s="223">
        <f>SUM(AA15:AA21)</f>
        <v>1763333.0114938486</v>
      </c>
      <c r="AC22" s="223">
        <f>SUM(AC15:AC21)</f>
        <v>1825049.6668961332</v>
      </c>
      <c r="AE22" s="223">
        <f>SUM(AE15:AE21)</f>
        <v>1888926.4052374978</v>
      </c>
      <c r="AG22" s="223">
        <f>SUM(AG15:AG21)</f>
        <v>1955038.8294208099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v>807187.49999999988</v>
      </c>
      <c r="F24" s="222"/>
      <c r="G24" s="222">
        <f>E24*(1+2%)</f>
        <v>823331.24999999988</v>
      </c>
      <c r="H24" s="222"/>
      <c r="I24" s="222">
        <f t="shared" ref="I24:AG24" si="1">G24*(1+2%)</f>
        <v>839797.87499999988</v>
      </c>
      <c r="J24" s="222"/>
      <c r="K24" s="222">
        <f t="shared" si="1"/>
        <v>856593.8324999999</v>
      </c>
      <c r="L24" s="222"/>
      <c r="M24" s="222">
        <f t="shared" si="1"/>
        <v>873725.70914999989</v>
      </c>
      <c r="N24" s="222"/>
      <c r="O24" s="222">
        <f t="shared" si="1"/>
        <v>891200.22333299986</v>
      </c>
      <c r="P24" s="222"/>
      <c r="Q24" s="222">
        <f t="shared" si="1"/>
        <v>909024.22779965983</v>
      </c>
      <c r="R24" s="222"/>
      <c r="S24" s="222">
        <f t="shared" si="1"/>
        <v>927204.71235565306</v>
      </c>
      <c r="T24" s="222"/>
      <c r="U24" s="222">
        <f t="shared" si="1"/>
        <v>945748.80660276616</v>
      </c>
      <c r="V24" s="222"/>
      <c r="W24" s="222">
        <f t="shared" si="1"/>
        <v>964663.78273482155</v>
      </c>
      <c r="X24" s="222"/>
      <c r="Y24" s="222">
        <f t="shared" si="1"/>
        <v>983957.05838951794</v>
      </c>
      <c r="Z24" s="222"/>
      <c r="AA24" s="222">
        <f t="shared" si="1"/>
        <v>1003636.1995573083</v>
      </c>
      <c r="AB24" s="222"/>
      <c r="AC24" s="222">
        <f t="shared" si="1"/>
        <v>1023708.9235484545</v>
      </c>
      <c r="AD24" s="222"/>
      <c r="AE24" s="222">
        <f t="shared" si="1"/>
        <v>1044183.1020194236</v>
      </c>
      <c r="AF24" s="222"/>
      <c r="AG24" s="222">
        <f t="shared" si="1"/>
        <v>1065066.7640598121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29099.999999999993</v>
      </c>
      <c r="F27" s="222"/>
      <c r="G27" s="222">
        <f>E27*$C$27</f>
        <v>30118.499999999989</v>
      </c>
      <c r="H27" s="222"/>
      <c r="I27" s="222">
        <f>G27*$C$27</f>
        <v>31172.647499999985</v>
      </c>
      <c r="J27" s="222"/>
      <c r="K27" s="222">
        <f>I27*$C$27</f>
        <v>32263.690162499981</v>
      </c>
      <c r="L27" s="222"/>
      <c r="M27" s="222">
        <f>K27*$C$27</f>
        <v>33392.91931818748</v>
      </c>
      <c r="N27" s="222"/>
      <c r="O27" s="222">
        <f>M27*$C$27</f>
        <v>34561.671494324037</v>
      </c>
      <c r="P27" s="222"/>
      <c r="Q27" s="222">
        <f>O27*$C$27</f>
        <v>35771.329996625376</v>
      </c>
      <c r="R27" s="222"/>
      <c r="S27" s="222">
        <f>Q27*$C$27</f>
        <v>37023.326546507262</v>
      </c>
      <c r="T27" s="222"/>
      <c r="U27" s="222">
        <f>S27*$C$27</f>
        <v>38319.142975635012</v>
      </c>
      <c r="V27" s="222"/>
      <c r="W27" s="222">
        <f>U27*$C$27</f>
        <v>39660.312979782233</v>
      </c>
      <c r="X27" s="222"/>
      <c r="Y27" s="222">
        <f>W27*$C$27</f>
        <v>41048.423934074606</v>
      </c>
      <c r="Z27" s="222"/>
      <c r="AA27" s="222">
        <f>Y27*$C$27</f>
        <v>42485.118771767215</v>
      </c>
      <c r="AB27" s="222"/>
      <c r="AC27" s="222">
        <f>AA27*$C$27</f>
        <v>43972.097928779061</v>
      </c>
      <c r="AD27" s="222"/>
      <c r="AE27" s="222">
        <f>AC27*$C$27</f>
        <v>45511.121356286327</v>
      </c>
      <c r="AF27" s="222"/>
      <c r="AG27" s="222">
        <f>AE27*$C$27</f>
        <v>47104.010603756346</v>
      </c>
    </row>
    <row r="28" spans="1:33" s="210" customFormat="1" ht="14.25">
      <c r="A28" s="210" t="s">
        <v>845</v>
      </c>
      <c r="C28" s="237"/>
      <c r="E28" s="222">
        <f>Application!AC898</f>
        <v>38500</v>
      </c>
      <c r="F28" s="222"/>
      <c r="G28" s="222">
        <f>$E$28</f>
        <v>38500</v>
      </c>
      <c r="H28" s="222"/>
      <c r="I28" s="222">
        <f>$E$28</f>
        <v>38500</v>
      </c>
      <c r="J28" s="222"/>
      <c r="K28" s="222">
        <f>$E$28</f>
        <v>38500</v>
      </c>
      <c r="L28" s="222"/>
      <c r="M28" s="222">
        <f>$E$28</f>
        <v>38500</v>
      </c>
      <c r="N28" s="222"/>
      <c r="O28" s="222">
        <f>$E$28</f>
        <v>38500</v>
      </c>
      <c r="P28" s="222"/>
      <c r="Q28" s="222">
        <f>$E$28</f>
        <v>38500</v>
      </c>
      <c r="R28" s="222"/>
      <c r="S28" s="222">
        <f>$E$28</f>
        <v>38500</v>
      </c>
      <c r="T28" s="222"/>
      <c r="U28" s="222">
        <f>$E$28</f>
        <v>38500</v>
      </c>
      <c r="V28" s="222"/>
      <c r="W28" s="222">
        <f>$E$28</f>
        <v>38500</v>
      </c>
      <c r="X28" s="222"/>
      <c r="Y28" s="222">
        <f>$E$28</f>
        <v>38500</v>
      </c>
      <c r="Z28" s="222"/>
      <c r="AA28" s="222">
        <f>$E$28</f>
        <v>38500</v>
      </c>
      <c r="AB28" s="222"/>
      <c r="AC28" s="222">
        <f>$E$28</f>
        <v>38500</v>
      </c>
      <c r="AD28" s="222"/>
      <c r="AE28" s="222">
        <f>$E$28</f>
        <v>38500</v>
      </c>
      <c r="AF28" s="222"/>
      <c r="AG28" s="222">
        <f>$E$28</f>
        <v>38500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15000</v>
      </c>
      <c r="F30" s="222"/>
      <c r="G30" s="222">
        <f>E30*$C$30</f>
        <v>15300</v>
      </c>
      <c r="H30" s="222"/>
      <c r="I30" s="222">
        <f>G30*$C$30</f>
        <v>15606</v>
      </c>
      <c r="J30" s="222"/>
      <c r="K30" s="222">
        <f>I30*$C$30</f>
        <v>15918.12</v>
      </c>
      <c r="L30" s="222"/>
      <c r="M30" s="222">
        <f>K30*$C$30</f>
        <v>16236.482400000001</v>
      </c>
      <c r="N30" s="222"/>
      <c r="O30" s="222">
        <f>M30*$C$30</f>
        <v>16561.212048000001</v>
      </c>
      <c r="P30" s="222"/>
      <c r="Q30" s="222">
        <f>O30*$C$30</f>
        <v>16892.436288960002</v>
      </c>
      <c r="R30" s="222"/>
      <c r="S30" s="222">
        <f>Q30*$C$30</f>
        <v>17230.285014739202</v>
      </c>
      <c r="T30" s="222"/>
      <c r="U30" s="222">
        <f>S30*$C$30</f>
        <v>17574.890715033987</v>
      </c>
      <c r="V30" s="222"/>
      <c r="W30" s="222">
        <f>U30*$C$30</f>
        <v>17926.388529334668</v>
      </c>
      <c r="X30" s="222"/>
      <c r="Y30" s="222">
        <f>W30*$C$30</f>
        <v>18284.916299921362</v>
      </c>
      <c r="Z30" s="222"/>
      <c r="AA30" s="222">
        <f>Y30*$C$30</f>
        <v>18650.614625919789</v>
      </c>
      <c r="AB30" s="222"/>
      <c r="AC30" s="222">
        <f>AA30*$C$30</f>
        <v>19023.626918438185</v>
      </c>
      <c r="AD30" s="222"/>
      <c r="AE30" s="222">
        <f>AC30*$C$30</f>
        <v>19404.099456806951</v>
      </c>
      <c r="AF30" s="222"/>
      <c r="AG30" s="222">
        <f>AE30*$C$30</f>
        <v>19792.18144594309</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(Owner-Hosted Broadband &amp; Bond Issuer Fees):</v>
      </c>
      <c r="C32" s="316">
        <v>1.0349999999999999</v>
      </c>
      <c r="E32" s="222">
        <f>Application!AC903</f>
        <v>46928</v>
      </c>
      <c r="F32" s="222"/>
      <c r="G32" s="222">
        <f>E32*$C$32</f>
        <v>48570.479999999996</v>
      </c>
      <c r="H32" s="222"/>
      <c r="I32" s="222">
        <f>G32*$C$32</f>
        <v>50270.446799999991</v>
      </c>
      <c r="J32" s="222"/>
      <c r="K32" s="222">
        <f>I32*$C$32</f>
        <v>52029.912437999985</v>
      </c>
      <c r="L32" s="222"/>
      <c r="M32" s="222">
        <f>K32*$C$32</f>
        <v>53850.959373329977</v>
      </c>
      <c r="N32" s="222"/>
      <c r="O32" s="222">
        <f>M32*$C$32</f>
        <v>55735.742951396525</v>
      </c>
      <c r="P32" s="222"/>
      <c r="Q32" s="222">
        <f>O32*$C$32</f>
        <v>57686.493954695397</v>
      </c>
      <c r="R32" s="222"/>
      <c r="S32" s="222">
        <f>Q32*$C$32</f>
        <v>59705.521243109732</v>
      </c>
      <c r="T32" s="222"/>
      <c r="U32" s="222">
        <f>S32*$C$32</f>
        <v>61795.21448661857</v>
      </c>
      <c r="V32" s="222"/>
      <c r="W32" s="222">
        <f>U32*$C$32</f>
        <v>63958.046993650212</v>
      </c>
      <c r="X32" s="222"/>
      <c r="Y32" s="222">
        <f>W32*$C$32</f>
        <v>66196.578638427964</v>
      </c>
      <c r="Z32" s="222"/>
      <c r="AA32" s="222">
        <f>Y32*$C$32</f>
        <v>68513.458890772934</v>
      </c>
      <c r="AB32" s="222"/>
      <c r="AC32" s="222">
        <f>AA32*$C$32</f>
        <v>70911.429951949976</v>
      </c>
      <c r="AD32" s="222"/>
      <c r="AE32" s="222">
        <f>AC32*$C$32</f>
        <v>73393.330000268223</v>
      </c>
      <c r="AF32" s="222"/>
      <c r="AG32" s="222">
        <f>AE32*$C$32</f>
        <v>75962.096550277609</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2144502.8880999992</v>
      </c>
      <c r="G35" s="223">
        <f>SUM(G22:G33)</f>
        <v>2205880.1766834985</v>
      </c>
      <c r="I35" s="223">
        <f>SUM(I22:I33)</f>
        <v>2269159.0141174211</v>
      </c>
      <c r="K35" s="223">
        <f>SUM(K22:K33)</f>
        <v>2334401.021486531</v>
      </c>
      <c r="M35" s="223">
        <f>SUM(M22:M33)</f>
        <v>2401669.8779510595</v>
      </c>
      <c r="O35" s="223">
        <f>SUM(O22:O33)</f>
        <v>2471031.3908060966</v>
      </c>
      <c r="Q35" s="223">
        <f>SUM(Q22:Q33)</f>
        <v>2542553.5679535945</v>
      </c>
      <c r="S35" s="223">
        <f>SUM(S22:S33)</f>
        <v>2616306.6928706411</v>
      </c>
      <c r="U35" s="223">
        <f>SUM(U22:U33)</f>
        <v>2692363.4021605575</v>
      </c>
      <c r="W35" s="223">
        <f>SUM(W22:W33)</f>
        <v>2770798.7657764098</v>
      </c>
      <c r="Y35" s="223">
        <f>SUM(Y22:Y33)</f>
        <v>2851690.3700096221</v>
      </c>
      <c r="AA35" s="223">
        <f>SUM(AA22:AA33)</f>
        <v>2935118.4033396165</v>
      </c>
      <c r="AC35" s="223">
        <f>SUM(AC22:AC33)</f>
        <v>3021165.7452437552</v>
      </c>
      <c r="AE35" s="223">
        <f>SUM(AE22:AE33)</f>
        <v>3109918.0580702829</v>
      </c>
      <c r="AG35" s="223">
        <f>SUM(AG22:AG33)</f>
        <v>3201463.8820805987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1357370.2019000007</v>
      </c>
      <c r="G37" s="223">
        <f>G11-G35</f>
        <v>1383539.7405665009</v>
      </c>
      <c r="I37" s="223">
        <f>I11-I35</f>
        <v>1409996.4010638278</v>
      </c>
      <c r="K37" s="223">
        <f>K11-K35</f>
        <v>1436733.2790742484</v>
      </c>
      <c r="M37" s="223">
        <f>M11-M35</f>
        <v>1463742.7801237395</v>
      </c>
      <c r="O37" s="223">
        <f>O11-O35</f>
        <v>1491016.5837205723</v>
      </c>
      <c r="Q37" s="223">
        <f>Q11-Q35</f>
        <v>1518545.6059362404</v>
      </c>
      <c r="S37" s="223">
        <f>S11-S35</f>
        <v>1546319.9603664391</v>
      </c>
      <c r="U37" s="223">
        <f>U11-U35</f>
        <v>1574328.9174074498</v>
      </c>
      <c r="W37" s="223">
        <f>W11-W35</f>
        <v>1602560.8617807971</v>
      </c>
      <c r="Y37" s="223">
        <f>Y11-Y35</f>
        <v>1631003.2482365151</v>
      </c>
      <c r="AA37" s="223">
        <f>AA11-AA35</f>
        <v>1659642.5553626721</v>
      </c>
      <c r="AC37" s="223">
        <f>AC11-AC35</f>
        <v>1688464.2374260901</v>
      </c>
      <c r="AE37" s="223">
        <f>AE11-AE35</f>
        <v>1717452.6741663092</v>
      </c>
      <c r="AG37" s="223">
        <f>AG11-AG35</f>
        <v>1746591.1184619069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 Tax Exempt</v>
      </c>
      <c r="B40" s="226"/>
      <c r="C40" s="220"/>
      <c r="E40" s="222">
        <v>1119939.394125052</v>
      </c>
      <c r="F40" s="222"/>
      <c r="G40" s="222">
        <f>$E$40</f>
        <v>1119939.394125052</v>
      </c>
      <c r="H40" s="222"/>
      <c r="I40" s="222">
        <f>$E$40</f>
        <v>1119939.394125052</v>
      </c>
      <c r="J40" s="222"/>
      <c r="K40" s="222">
        <f>Application!$AF$635</f>
        <v>1119939.394125052</v>
      </c>
      <c r="L40" s="222"/>
      <c r="M40" s="222">
        <f>Application!$AF$635</f>
        <v>1119939.394125052</v>
      </c>
      <c r="N40" s="222"/>
      <c r="O40" s="222">
        <f>Application!$AF$635</f>
        <v>1119939.394125052</v>
      </c>
      <c r="P40" s="222"/>
      <c r="Q40" s="222">
        <f>Application!$AF$635</f>
        <v>1119939.394125052</v>
      </c>
      <c r="R40" s="222"/>
      <c r="S40" s="222">
        <f>Application!$AF$635</f>
        <v>1119939.394125052</v>
      </c>
      <c r="T40" s="222"/>
      <c r="U40" s="222">
        <f>Application!$AF$635</f>
        <v>1119939.394125052</v>
      </c>
      <c r="V40" s="222"/>
      <c r="W40" s="222">
        <f>Application!$AF$635</f>
        <v>1119939.394125052</v>
      </c>
      <c r="X40" s="222"/>
      <c r="Y40" s="222">
        <f>Application!$AF$635</f>
        <v>1119939.394125052</v>
      </c>
      <c r="Z40" s="222"/>
      <c r="AA40" s="222">
        <f>Application!$AF$635</f>
        <v>1119939.394125052</v>
      </c>
      <c r="AB40" s="222"/>
      <c r="AC40" s="222">
        <f>Application!$AF$635</f>
        <v>1119939.394125052</v>
      </c>
      <c r="AD40" s="222"/>
      <c r="AE40" s="222">
        <f>Application!$AF$635</f>
        <v>1119939.394125052</v>
      </c>
      <c r="AF40" s="222"/>
      <c r="AG40" s="222">
        <f>Application!$AF$635</f>
        <v>1119939.394125052</v>
      </c>
    </row>
    <row r="41" spans="1:33" s="210" customFormat="1" ht="14.25">
      <c r="A41" s="225" t="s">
        <v>2785</v>
      </c>
      <c r="B41" s="226"/>
      <c r="C41" s="220"/>
      <c r="E41" s="222">
        <v>60365.781288816594</v>
      </c>
      <c r="F41" s="222"/>
      <c r="G41" s="222">
        <f>$E$41</f>
        <v>60365.781288816594</v>
      </c>
      <c r="H41" s="222"/>
      <c r="I41" s="222">
        <f>$E$41</f>
        <v>60365.781288816594</v>
      </c>
      <c r="J41" s="222"/>
      <c r="K41" s="222">
        <f>Application!AF636</f>
        <v>60365.781288816594</v>
      </c>
      <c r="L41" s="222"/>
      <c r="M41" s="222">
        <f>$K$41</f>
        <v>60365.781288816594</v>
      </c>
      <c r="N41" s="222"/>
      <c r="O41" s="222">
        <f>$K$41</f>
        <v>60365.781288816594</v>
      </c>
      <c r="P41" s="222"/>
      <c r="Q41" s="222">
        <f>$K$41</f>
        <v>60365.781288816594</v>
      </c>
      <c r="R41" s="222"/>
      <c r="S41" s="222">
        <f>$K$41</f>
        <v>60365.781288816594</v>
      </c>
      <c r="T41" s="222"/>
      <c r="U41" s="222">
        <f>$K$41</f>
        <v>60365.781288816594</v>
      </c>
      <c r="V41" s="222"/>
      <c r="W41" s="222">
        <f>$K$41</f>
        <v>60365.781288816594</v>
      </c>
      <c r="X41" s="222"/>
      <c r="Y41" s="222">
        <f>$K$41</f>
        <v>60365.781288816594</v>
      </c>
      <c r="Z41" s="222"/>
      <c r="AA41" s="222">
        <f>$K$41</f>
        <v>60365.781288816594</v>
      </c>
      <c r="AB41" s="222"/>
      <c r="AC41" s="222">
        <f>$K$41</f>
        <v>60365.781288816594</v>
      </c>
      <c r="AD41" s="222"/>
      <c r="AE41" s="222">
        <f>$K$41</f>
        <v>60365.781288816594</v>
      </c>
      <c r="AF41" s="222"/>
      <c r="AG41" s="222">
        <f>$K$41</f>
        <v>60365.781288816594</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1180305.1754138686</v>
      </c>
      <c r="G43" s="223">
        <f>SUM(G40:G42)</f>
        <v>1180305.1754138686</v>
      </c>
      <c r="I43" s="223">
        <f>SUM(I40:I42)</f>
        <v>1180305.1754138686</v>
      </c>
      <c r="K43" s="223">
        <f>SUM(K40:K42)</f>
        <v>1180305.1754138686</v>
      </c>
      <c r="M43" s="223">
        <f>SUM(M40:M42)</f>
        <v>1180305.1754138686</v>
      </c>
      <c r="O43" s="223">
        <f>SUM(O40:O42)</f>
        <v>1180305.1754138686</v>
      </c>
      <c r="Q43" s="223">
        <f>SUM(Q40:Q42)</f>
        <v>1180305.1754138686</v>
      </c>
      <c r="S43" s="223">
        <f>SUM(S40:S42)</f>
        <v>1180305.1754138686</v>
      </c>
      <c r="U43" s="223">
        <f>SUM(U40:U42)</f>
        <v>1180305.1754138686</v>
      </c>
      <c r="W43" s="223">
        <f>SUM(W40:W42)</f>
        <v>1180305.1754138686</v>
      </c>
      <c r="Y43" s="223">
        <f>SUM(Y40:Y42)</f>
        <v>1180305.1754138686</v>
      </c>
      <c r="AA43" s="223">
        <f>SUM(AA40:AA42)</f>
        <v>1180305.1754138686</v>
      </c>
      <c r="AC43" s="223">
        <f>SUM(AC40:AC42)</f>
        <v>1180305.1754138686</v>
      </c>
      <c r="AE43" s="223">
        <f>SUM(AE40:AE42)</f>
        <v>1180305.1754138686</v>
      </c>
      <c r="AG43" s="223">
        <f>SUM(AG40:AG42)</f>
        <v>1180305.1754138686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177065.02648613206</v>
      </c>
      <c r="G45" s="223">
        <f>G37-G43</f>
        <v>203234.56515263231</v>
      </c>
      <c r="I45" s="223">
        <f>I37-I43</f>
        <v>229691.22564995917</v>
      </c>
      <c r="K45" s="223">
        <f>K37-K43</f>
        <v>256428.10366037977</v>
      </c>
      <c r="M45" s="223">
        <f>M37-M43</f>
        <v>283437.60470987088</v>
      </c>
      <c r="O45" s="223">
        <f>O37-O43</f>
        <v>310711.40830670367</v>
      </c>
      <c r="Q45" s="223">
        <f>Q37-Q43</f>
        <v>338240.43052237178</v>
      </c>
      <c r="S45" s="223">
        <f>S37-S43</f>
        <v>366014.78495257045</v>
      </c>
      <c r="U45" s="223">
        <f>U37-U43</f>
        <v>394023.74199358118</v>
      </c>
      <c r="W45" s="223">
        <f>W37-W43</f>
        <v>422255.68636692851</v>
      </c>
      <c r="Y45" s="223">
        <f>Y37-Y43</f>
        <v>450698.07282264647</v>
      </c>
      <c r="AA45" s="223">
        <f>AA37-AA43</f>
        <v>479337.37994880346</v>
      </c>
      <c r="AC45" s="223">
        <f>AC37-AC43</f>
        <v>508159.06201222143</v>
      </c>
      <c r="AE45" s="223">
        <f>AE37-AE43</f>
        <v>537147.49875244056</v>
      </c>
      <c r="AG45" s="223">
        <f>AG37-AG43</f>
        <v>566285.94304803829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4.8034800473544706E-2</v>
      </c>
      <c r="G47" s="227">
        <f>G45/(G4+G6+G8)</f>
        <v>5.3789425964661623E-2</v>
      </c>
      <c r="I47" s="227">
        <f>I45/(I4+I6+I8)</f>
        <v>5.930890102306579E-2</v>
      </c>
      <c r="K47" s="227">
        <f>K45/(K4+K6+K8)</f>
        <v>6.4597725528135044E-2</v>
      </c>
      <c r="M47" s="227">
        <f>M45/(M4+M6+M8)</f>
        <v>6.9660279067975991E-2</v>
      </c>
      <c r="O47" s="227">
        <f>O45/(O4+O6+O8)</f>
        <v>7.4500823763152965E-2</v>
      </c>
      <c r="Q47" s="227">
        <f>Q45/(Q4+Q6+Q8)</f>
        <v>7.9123507020508396E-2</v>
      </c>
      <c r="S47" s="227">
        <f>S45/(S4+S6+S8)</f>
        <v>8.3532364218765795E-2</v>
      </c>
      <c r="U47" s="227">
        <f>U45/(U4+U6+U8)</f>
        <v>8.7731321327571471E-2</v>
      </c>
      <c r="W47" s="227">
        <f>W45/(W4+W6+W8)</f>
        <v>9.1724197461585236E-2</v>
      </c>
      <c r="Y47" s="227">
        <f>Y45/(Y4+Y6+Y8)</f>
        <v>9.551470737119748E-2</v>
      </c>
      <c r="AA47" s="227">
        <f>AA45/(AA4+AA6+AA8)</f>
        <v>9.91064638714034E-2</v>
      </c>
      <c r="AC47" s="227">
        <f>AC45/(AC4+AC6+AC8)</f>
        <v>0.10250298021033559</v>
      </c>
      <c r="AE47" s="227">
        <f>AE45/(AE4+AE6+AE8)</f>
        <v>0.1057076723789129</v>
      </c>
      <c r="AG47" s="227">
        <f>AG45/(AG4+AG6+AG8)</f>
        <v>0.10872386136303114</v>
      </c>
    </row>
    <row r="48" spans="1:33" s="227" customFormat="1" ht="14.25">
      <c r="A48" s="227" t="s">
        <v>851</v>
      </c>
      <c r="C48" s="220"/>
      <c r="E48" s="227">
        <f>E45/E43</f>
        <v>0.15001630948881081</v>
      </c>
      <c r="G48" s="227">
        <f>G45/G43</f>
        <v>0.172188150476735</v>
      </c>
      <c r="I48" s="227">
        <f>I45/I43</f>
        <v>0.19460325213724408</v>
      </c>
      <c r="K48" s="227">
        <f>K45/K43</f>
        <v>0.21725576486645873</v>
      </c>
      <c r="M48" s="227">
        <f>M45/M43</f>
        <v>0.24013925433351149</v>
      </c>
      <c r="O48" s="227">
        <f>O45/O43</f>
        <v>0.2632466710973746</v>
      </c>
      <c r="Q48" s="227">
        <f>Q45/Q43</f>
        <v>0.28657031890398116</v>
      </c>
      <c r="S48" s="227">
        <f>S45/S43</f>
        <v>0.31010182161086353</v>
      </c>
      <c r="U48" s="227">
        <f>U45/U43</f>
        <v>0.33383208868453751</v>
      </c>
      <c r="W48" s="227">
        <f>W45/W43</f>
        <v>0.35775127921375627</v>
      </c>
      <c r="Y48" s="227">
        <f>Y45/Y43</f>
        <v>0.38184876437961163</v>
      </c>
      <c r="AA48" s="227">
        <f>AA45/AA43</f>
        <v>0.40611308832118437</v>
      </c>
      <c r="AC48" s="227">
        <f>AC45/AC43</f>
        <v>0.43053192733314738</v>
      </c>
      <c r="AE48" s="227">
        <f>AE45/AE43</f>
        <v>0.45509204732927844</v>
      </c>
      <c r="AG48" s="227">
        <f>AG45/AG43</f>
        <v>0.47977925950335065</v>
      </c>
    </row>
    <row r="49" spans="1:34" s="228" customFormat="1" ht="14.25">
      <c r="A49" s="228" t="s">
        <v>849</v>
      </c>
      <c r="C49" s="229"/>
      <c r="E49" s="228">
        <f>E37/E43</f>
        <v>1.1500163094888107</v>
      </c>
      <c r="G49" s="228">
        <f>G37/G43</f>
        <v>1.1721881504767351</v>
      </c>
      <c r="I49" s="228">
        <f>I37/I43</f>
        <v>1.1946032521372441</v>
      </c>
      <c r="K49" s="228">
        <f>K37/K43</f>
        <v>1.2172557648664588</v>
      </c>
      <c r="M49" s="228">
        <f>M37/M43</f>
        <v>1.2401392543335115</v>
      </c>
      <c r="O49" s="228">
        <f>O37/O43</f>
        <v>1.2632466710973747</v>
      </c>
      <c r="Q49" s="228">
        <f>Q37/Q43</f>
        <v>1.2865703189039812</v>
      </c>
      <c r="S49" s="228">
        <f>S37/S43</f>
        <v>1.3101018216108635</v>
      </c>
      <c r="U49" s="228">
        <f>U37/U43</f>
        <v>1.3338320886845374</v>
      </c>
      <c r="W49" s="228">
        <f>W37/W43</f>
        <v>1.3577512792137563</v>
      </c>
      <c r="Y49" s="228">
        <f>Y37/Y43</f>
        <v>1.3818487643796116</v>
      </c>
      <c r="AA49" s="228">
        <f>AA37/AA43</f>
        <v>1.4061130883211843</v>
      </c>
      <c r="AC49" s="228">
        <f>AC37/AC43</f>
        <v>1.4305319273331474</v>
      </c>
      <c r="AE49" s="228">
        <f>AE37/AE43</f>
        <v>1.4550920473292783</v>
      </c>
      <c r="AG49" s="228">
        <f>AG37/AG43</f>
        <v>1.4797792595033508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ht="12.75" hidden="1" customHeight="1">
      <c r="A52" s="2690" t="s">
        <v>2786</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5000</v>
      </c>
      <c r="G53" s="956">
        <f>E53*$C$53</f>
        <v>5150</v>
      </c>
      <c r="I53" s="956">
        <f>G53*$C$53</f>
        <v>5304.5</v>
      </c>
      <c r="K53" s="956">
        <f>I53*$C$53</f>
        <v>5463.6350000000002</v>
      </c>
      <c r="M53" s="956">
        <f>K53*$C$53</f>
        <v>5627.5440500000004</v>
      </c>
      <c r="O53" s="956">
        <f>M53*$C$53</f>
        <v>5796.3703715000001</v>
      </c>
      <c r="Q53" s="956">
        <f>O53*$C$53</f>
        <v>5970.2614826449999</v>
      </c>
      <c r="S53" s="956">
        <f>Q53*$C$53</f>
        <v>6149.3693271243501</v>
      </c>
      <c r="U53" s="956">
        <f>S53*$C$53</f>
        <v>6333.8504069380806</v>
      </c>
      <c r="W53" s="956">
        <f>U53*$C$53</f>
        <v>6523.865919146223</v>
      </c>
      <c r="Y53" s="956">
        <f>W53*$C$53</f>
        <v>6719.5818967206096</v>
      </c>
      <c r="AA53" s="956">
        <f>Y53*$C$53</f>
        <v>6921.1693536222283</v>
      </c>
      <c r="AC53" s="956">
        <f>AA53*$C$53</f>
        <v>7128.8044342308949</v>
      </c>
      <c r="AE53" s="956">
        <f>AC53*$C$53</f>
        <v>7342.6685672578224</v>
      </c>
      <c r="AG53" s="956">
        <f>AE53*$C$53</f>
        <v>7562.9486242755574</v>
      </c>
    </row>
    <row r="54" spans="1:34" s="3" customFormat="1">
      <c r="A54" s="3" t="s">
        <v>854</v>
      </c>
      <c r="C54" s="954"/>
      <c r="E54" s="961">
        <v>5000</v>
      </c>
      <c r="F54" s="956"/>
      <c r="G54" s="956">
        <f t="shared" ref="G54:AG57" si="2">E54*$C$53</f>
        <v>5150</v>
      </c>
      <c r="H54" s="956"/>
      <c r="I54" s="956">
        <f t="shared" si="2"/>
        <v>5304.5</v>
      </c>
      <c r="J54" s="956"/>
      <c r="K54" s="956">
        <f t="shared" si="2"/>
        <v>5463.6350000000002</v>
      </c>
      <c r="L54" s="956"/>
      <c r="M54" s="956">
        <f t="shared" si="2"/>
        <v>5627.5440500000004</v>
      </c>
      <c r="N54" s="956"/>
      <c r="O54" s="956">
        <f t="shared" si="2"/>
        <v>5796.3703715000001</v>
      </c>
      <c r="P54" s="956"/>
      <c r="Q54" s="956">
        <f t="shared" si="2"/>
        <v>5970.2614826449999</v>
      </c>
      <c r="R54" s="956"/>
      <c r="S54" s="956">
        <f t="shared" si="2"/>
        <v>6149.3693271243501</v>
      </c>
      <c r="T54" s="956"/>
      <c r="U54" s="956">
        <f t="shared" si="2"/>
        <v>6333.8504069380806</v>
      </c>
      <c r="V54" s="956"/>
      <c r="W54" s="956">
        <f t="shared" si="2"/>
        <v>6523.865919146223</v>
      </c>
      <c r="X54" s="956"/>
      <c r="Y54" s="956">
        <f t="shared" si="2"/>
        <v>6719.5818967206096</v>
      </c>
      <c r="Z54" s="956"/>
      <c r="AA54" s="956">
        <f t="shared" si="2"/>
        <v>6921.1693536222283</v>
      </c>
      <c r="AB54" s="956"/>
      <c r="AC54" s="956">
        <f t="shared" si="2"/>
        <v>7128.8044342308949</v>
      </c>
      <c r="AD54" s="956"/>
      <c r="AE54" s="956">
        <f t="shared" si="2"/>
        <v>7342.6685672578224</v>
      </c>
      <c r="AF54" s="956"/>
      <c r="AG54" s="956">
        <f t="shared" si="2"/>
        <v>7562.9486242755574</v>
      </c>
      <c r="AH54" s="956"/>
    </row>
    <row r="55" spans="1:34" s="3" customFormat="1">
      <c r="A55" s="3" t="s">
        <v>855</v>
      </c>
      <c r="C55" s="954"/>
      <c r="E55" s="961"/>
      <c r="F55" s="956"/>
      <c r="G55" s="956">
        <f t="shared" si="2"/>
        <v>0</v>
      </c>
      <c r="H55" s="956"/>
      <c r="I55" s="956">
        <f t="shared" si="2"/>
        <v>0</v>
      </c>
      <c r="J55" s="956"/>
      <c r="K55" s="956">
        <f t="shared" si="2"/>
        <v>0</v>
      </c>
      <c r="L55" s="956"/>
      <c r="M55" s="956">
        <f t="shared" si="2"/>
        <v>0</v>
      </c>
      <c r="N55" s="956"/>
      <c r="O55" s="956">
        <f t="shared" si="2"/>
        <v>0</v>
      </c>
      <c r="P55" s="956"/>
      <c r="Q55" s="956">
        <f t="shared" si="2"/>
        <v>0</v>
      </c>
      <c r="R55" s="956"/>
      <c r="S55" s="956">
        <f t="shared" si="2"/>
        <v>0</v>
      </c>
      <c r="T55" s="956"/>
      <c r="U55" s="956">
        <f t="shared" si="2"/>
        <v>0</v>
      </c>
      <c r="V55" s="956"/>
      <c r="W55" s="956">
        <f t="shared" si="2"/>
        <v>0</v>
      </c>
      <c r="X55" s="956"/>
      <c r="Y55" s="956">
        <f t="shared" si="2"/>
        <v>0</v>
      </c>
      <c r="Z55" s="956"/>
      <c r="AA55" s="956">
        <f t="shared" si="2"/>
        <v>0</v>
      </c>
      <c r="AB55" s="956"/>
      <c r="AC55" s="956">
        <f t="shared" si="2"/>
        <v>0</v>
      </c>
      <c r="AD55" s="956"/>
      <c r="AE55" s="956">
        <f t="shared" si="2"/>
        <v>0</v>
      </c>
      <c r="AF55" s="956"/>
      <c r="AG55" s="956">
        <f t="shared" si="2"/>
        <v>0</v>
      </c>
      <c r="AH55" s="956"/>
    </row>
    <row r="56" spans="1:34" s="3" customFormat="1">
      <c r="A56" s="962"/>
      <c r="B56" s="962"/>
      <c r="C56" s="954"/>
      <c r="E56" s="961"/>
      <c r="F56" s="956"/>
      <c r="G56" s="956">
        <f t="shared" si="2"/>
        <v>0</v>
      </c>
      <c r="H56" s="956"/>
      <c r="I56" s="956">
        <f t="shared" si="2"/>
        <v>0</v>
      </c>
      <c r="J56" s="956"/>
      <c r="K56" s="956">
        <f t="shared" si="2"/>
        <v>0</v>
      </c>
      <c r="L56" s="956"/>
      <c r="M56" s="956">
        <f t="shared" si="2"/>
        <v>0</v>
      </c>
      <c r="N56" s="956"/>
      <c r="O56" s="956">
        <f t="shared" si="2"/>
        <v>0</v>
      </c>
      <c r="P56" s="956"/>
      <c r="Q56" s="956">
        <f t="shared" si="2"/>
        <v>0</v>
      </c>
      <c r="R56" s="956"/>
      <c r="S56" s="956">
        <f t="shared" si="2"/>
        <v>0</v>
      </c>
      <c r="T56" s="956"/>
      <c r="U56" s="956">
        <f t="shared" si="2"/>
        <v>0</v>
      </c>
      <c r="V56" s="956"/>
      <c r="W56" s="956">
        <f t="shared" si="2"/>
        <v>0</v>
      </c>
      <c r="X56" s="956"/>
      <c r="Y56" s="956">
        <f t="shared" si="2"/>
        <v>0</v>
      </c>
      <c r="Z56" s="956"/>
      <c r="AA56" s="956">
        <f t="shared" si="2"/>
        <v>0</v>
      </c>
      <c r="AB56" s="956"/>
      <c r="AC56" s="956">
        <f t="shared" si="2"/>
        <v>0</v>
      </c>
      <c r="AD56" s="956"/>
      <c r="AE56" s="956">
        <f t="shared" si="2"/>
        <v>0</v>
      </c>
      <c r="AF56" s="956"/>
      <c r="AG56" s="956">
        <f t="shared" si="2"/>
        <v>0</v>
      </c>
      <c r="AH56" s="956"/>
    </row>
    <row r="57" spans="1:34" s="3" customFormat="1">
      <c r="A57" s="962"/>
      <c r="B57" s="962"/>
      <c r="C57" s="954"/>
      <c r="E57" s="963"/>
      <c r="F57" s="956"/>
      <c r="G57" s="964">
        <f t="shared" si="2"/>
        <v>0</v>
      </c>
      <c r="H57" s="956"/>
      <c r="I57" s="964">
        <f t="shared" si="2"/>
        <v>0</v>
      </c>
      <c r="J57" s="956"/>
      <c r="K57" s="964">
        <f t="shared" si="2"/>
        <v>0</v>
      </c>
      <c r="L57" s="956"/>
      <c r="M57" s="964">
        <f t="shared" si="2"/>
        <v>0</v>
      </c>
      <c r="N57" s="956"/>
      <c r="O57" s="964">
        <f t="shared" si="2"/>
        <v>0</v>
      </c>
      <c r="P57" s="956"/>
      <c r="Q57" s="964">
        <f t="shared" si="2"/>
        <v>0</v>
      </c>
      <c r="R57" s="956"/>
      <c r="S57" s="964">
        <f t="shared" si="2"/>
        <v>0</v>
      </c>
      <c r="T57" s="956"/>
      <c r="U57" s="964">
        <f t="shared" si="2"/>
        <v>0</v>
      </c>
      <c r="V57" s="956"/>
      <c r="W57" s="964">
        <f t="shared" si="2"/>
        <v>0</v>
      </c>
      <c r="X57" s="956"/>
      <c r="Y57" s="964">
        <f t="shared" si="2"/>
        <v>0</v>
      </c>
      <c r="Z57" s="956"/>
      <c r="AA57" s="964">
        <f t="shared" si="2"/>
        <v>0</v>
      </c>
      <c r="AB57" s="956"/>
      <c r="AC57" s="964">
        <f t="shared" si="2"/>
        <v>0</v>
      </c>
      <c r="AD57" s="956"/>
      <c r="AE57" s="964">
        <f t="shared" si="2"/>
        <v>0</v>
      </c>
      <c r="AF57" s="956"/>
      <c r="AG57" s="964">
        <f t="shared" si="2"/>
        <v>0</v>
      </c>
      <c r="AH57" s="956"/>
    </row>
    <row r="58" spans="1:34" s="3" customFormat="1">
      <c r="A58" s="958" t="s">
        <v>852</v>
      </c>
      <c r="C58" s="957"/>
      <c r="E58" s="956">
        <f>SUM(E53:E57)</f>
        <v>10000</v>
      </c>
      <c r="F58" s="956"/>
      <c r="G58" s="956">
        <f>SUM(G53:G57)</f>
        <v>10300</v>
      </c>
      <c r="H58" s="956"/>
      <c r="I58" s="956">
        <f>SUM(I53:I57)</f>
        <v>10609</v>
      </c>
      <c r="J58" s="956"/>
      <c r="K58" s="956">
        <f>SUM(K53:K57)</f>
        <v>10927.27</v>
      </c>
      <c r="L58" s="956"/>
      <c r="M58" s="956">
        <f>SUM(M53:M57)</f>
        <v>11255.088100000001</v>
      </c>
      <c r="N58" s="956"/>
      <c r="O58" s="956">
        <f>SUM(O53:O57)</f>
        <v>11592.740743</v>
      </c>
      <c r="P58" s="956"/>
      <c r="Q58" s="956">
        <f>SUM(Q53:Q57)</f>
        <v>11940.52296529</v>
      </c>
      <c r="R58" s="956"/>
      <c r="S58" s="956">
        <f>SUM(S53:S57)</f>
        <v>12298.7386542487</v>
      </c>
      <c r="T58" s="956"/>
      <c r="U58" s="956">
        <f>SUM(U53:U57)</f>
        <v>12667.700813876161</v>
      </c>
      <c r="V58" s="956"/>
      <c r="W58" s="956">
        <f>SUM(W53:W57)</f>
        <v>13047.731838292446</v>
      </c>
      <c r="X58" s="956"/>
      <c r="Y58" s="956">
        <f>SUM(Y53:Y57)</f>
        <v>13439.163793441219</v>
      </c>
      <c r="Z58" s="956"/>
      <c r="AA58" s="956">
        <f>SUM(AA53:AA57)</f>
        <v>13842.338707244457</v>
      </c>
      <c r="AB58" s="956"/>
      <c r="AC58" s="956">
        <f>SUM(AC53:AC57)</f>
        <v>14257.60886846179</v>
      </c>
      <c r="AD58" s="956"/>
      <c r="AE58" s="956">
        <f>SUM(AE53:AE57)</f>
        <v>14685.337134515645</v>
      </c>
      <c r="AF58" s="956"/>
      <c r="AG58" s="956">
        <f>SUM(AG53:AG57)</f>
        <v>15125.897248551115</v>
      </c>
      <c r="AH58" s="956"/>
    </row>
    <row r="59" spans="1:34" s="3" customForma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167065.02648613206</v>
      </c>
      <c r="G60" s="958">
        <f>G45-G58</f>
        <v>192934.56515263231</v>
      </c>
      <c r="I60" s="958">
        <f>I45-I58</f>
        <v>219082.22564995917</v>
      </c>
      <c r="K60" s="958">
        <f>K45-K58</f>
        <v>245500.83366037978</v>
      </c>
      <c r="M60" s="958">
        <f>M45-M58</f>
        <v>272182.51660987089</v>
      </c>
      <c r="O60" s="958">
        <f>O45-O58</f>
        <v>299118.66756370367</v>
      </c>
      <c r="Q60" s="958">
        <f>Q45-Q58</f>
        <v>326299.90755708178</v>
      </c>
      <c r="S60" s="958">
        <f>S45-S58</f>
        <v>353716.04629832174</v>
      </c>
      <c r="U60" s="958">
        <f>U45-U58</f>
        <v>381356.041179705</v>
      </c>
      <c r="W60" s="958">
        <f>W45-W58</f>
        <v>409207.95452863607</v>
      </c>
      <c r="Y60" s="958">
        <f>Y45-Y58</f>
        <v>437258.90902920527</v>
      </c>
      <c r="AA60" s="958">
        <f>AA45-AA58</f>
        <v>465495.04124155903</v>
      </c>
      <c r="AC60" s="958">
        <f>AC45-AC58</f>
        <v>493901.45314375963</v>
      </c>
      <c r="AE60" s="958">
        <f>AE45-AE58</f>
        <v>522462.16161792492</v>
      </c>
      <c r="AG60" s="958">
        <f>AG45-AG58</f>
        <v>551160.04579948715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2787</v>
      </c>
      <c r="C62" s="955">
        <v>1</v>
      </c>
      <c r="E62" s="960">
        <f>E60*$C$62</f>
        <v>167065.02648613206</v>
      </c>
      <c r="G62" s="958">
        <f>G60*$C$62</f>
        <v>192934.56515263231</v>
      </c>
      <c r="I62" s="958">
        <f>I60*$C$62</f>
        <v>219082.22564995917</v>
      </c>
      <c r="K62" s="958">
        <f>K60*$C$62</f>
        <v>245500.83366037978</v>
      </c>
      <c r="M62" s="958">
        <f>M60*$C$62</f>
        <v>272182.51660987089</v>
      </c>
      <c r="O62" s="958">
        <f>O60*$C$62</f>
        <v>299118.66756370367</v>
      </c>
      <c r="Q62" s="958">
        <f>Q60*$C$62</f>
        <v>326299.90755708178</v>
      </c>
      <c r="S62" s="958">
        <f>S60*$C$62</f>
        <v>353716.04629832174</v>
      </c>
      <c r="U62" s="958">
        <f>U60*$C$62</f>
        <v>381356.041179705</v>
      </c>
      <c r="W62" s="958">
        <f>W60*$C$62</f>
        <v>409207.95452863607</v>
      </c>
      <c r="Y62" s="958">
        <f>Y60*$C$62</f>
        <v>437258.90902920527</v>
      </c>
      <c r="AA62" s="958">
        <f>AA60*$C$62</f>
        <v>465495.04124155903</v>
      </c>
      <c r="AC62" s="958">
        <f>AC60*$C$62</f>
        <v>493901.45314375963</v>
      </c>
      <c r="AE62" s="958">
        <f>AE60*$C$62</f>
        <v>522462.16161792492</v>
      </c>
      <c r="AG62" s="958">
        <f>AG60*$C$62</f>
        <v>551160.04579948715</v>
      </c>
    </row>
    <row r="63" spans="1:34" s="958" customFormat="1">
      <c r="A63" s="958" t="s">
        <v>2788</v>
      </c>
      <c r="C63" s="1266">
        <f>Application!AO638</f>
        <v>5301154</v>
      </c>
      <c r="E63" s="960">
        <f>C63-E62</f>
        <v>5134088.9735138677</v>
      </c>
      <c r="G63" s="958">
        <f>E63-G62</f>
        <v>4941154.4083612356</v>
      </c>
      <c r="I63" s="958">
        <f t="shared" ref="I63:AE63" si="3">G63-I62</f>
        <v>4722072.1827112762</v>
      </c>
      <c r="K63" s="958">
        <f t="shared" si="3"/>
        <v>4476571.3490508962</v>
      </c>
      <c r="M63" s="958">
        <f t="shared" si="3"/>
        <v>4204388.8324410254</v>
      </c>
      <c r="O63" s="958">
        <f t="shared" si="3"/>
        <v>3905270.1648773216</v>
      </c>
      <c r="Q63" s="958">
        <f t="shared" si="3"/>
        <v>3578970.2573202397</v>
      </c>
      <c r="S63" s="958">
        <f t="shared" si="3"/>
        <v>3225254.2110219179</v>
      </c>
      <c r="U63" s="958">
        <f t="shared" si="3"/>
        <v>2843898.1698422129</v>
      </c>
      <c r="W63" s="958">
        <f t="shared" si="3"/>
        <v>2434690.2153135771</v>
      </c>
      <c r="Y63" s="958">
        <f t="shared" si="3"/>
        <v>1997431.3062843718</v>
      </c>
      <c r="AA63" s="958">
        <f t="shared" si="3"/>
        <v>1531936.2650428128</v>
      </c>
      <c r="AC63" s="958">
        <f t="shared" si="3"/>
        <v>1038034.8118990532</v>
      </c>
      <c r="AE63" s="958">
        <f t="shared" si="3"/>
        <v>515572.65028112824</v>
      </c>
      <c r="AG63" s="958">
        <v>0</v>
      </c>
    </row>
    <row r="64" spans="1:34" s="958" customFormat="1">
      <c r="A64" s="2690" t="s">
        <v>2786</v>
      </c>
      <c r="B64" s="2690"/>
      <c r="C64" s="2690"/>
    </row>
    <row r="65" spans="1:34" s="3" customFormat="1" ht="8.25" customHeight="1">
      <c r="C65" s="957"/>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3" customFormat="1">
      <c r="A66" s="3" t="s">
        <v>859</v>
      </c>
      <c r="C66" s="955">
        <v>0</v>
      </c>
      <c r="E66" s="956"/>
      <c r="F66" s="956"/>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row>
    <row r="67" spans="1:34" s="958" customFormat="1">
      <c r="A67" s="960"/>
      <c r="B67" s="960"/>
      <c r="C67" s="959"/>
      <c r="E67" s="960">
        <f>$E60*$C$66</f>
        <v>0</v>
      </c>
      <c r="G67" s="956">
        <f>G60*$C$66</f>
        <v>0</v>
      </c>
      <c r="I67" s="956">
        <f>I60*$C$66</f>
        <v>0</v>
      </c>
      <c r="K67" s="956">
        <f>K60*$C$66</f>
        <v>0</v>
      </c>
      <c r="M67" s="956">
        <f>M60*$C$66</f>
        <v>0</v>
      </c>
      <c r="O67" s="956">
        <f>O60*$C$66</f>
        <v>0</v>
      </c>
      <c r="Q67" s="956">
        <f>Q60*$C$66</f>
        <v>0</v>
      </c>
      <c r="S67" s="956">
        <f>S60*$C$66</f>
        <v>0</v>
      </c>
      <c r="U67" s="956">
        <f>U60*$C$66</f>
        <v>0</v>
      </c>
      <c r="W67" s="956">
        <f>W60*$C$66</f>
        <v>0</v>
      </c>
      <c r="Y67" s="956">
        <f>Y60*$C$66</f>
        <v>0</v>
      </c>
      <c r="AA67" s="956">
        <f>AA60*$C$66</f>
        <v>0</v>
      </c>
      <c r="AC67" s="956">
        <f>AC60*$C$66</f>
        <v>0</v>
      </c>
      <c r="AE67" s="956">
        <f>AE60*$C$66</f>
        <v>0</v>
      </c>
      <c r="AG67" s="956">
        <f>AG60*$C$66</f>
        <v>0</v>
      </c>
    </row>
    <row r="68" spans="1:34" s="956" customFormat="1">
      <c r="A68" s="961"/>
      <c r="B68" s="961"/>
      <c r="C68" s="966"/>
      <c r="E68" s="960">
        <f>$E60*$C$66</f>
        <v>0</v>
      </c>
      <c r="G68" s="956">
        <f>G60*$C$66</f>
        <v>0</v>
      </c>
      <c r="I68" s="956">
        <f>I60*$C$66</f>
        <v>0</v>
      </c>
      <c r="K68" s="956">
        <f>K60*$C$66</f>
        <v>0</v>
      </c>
      <c r="M68" s="956">
        <f>M60*$C$66</f>
        <v>0</v>
      </c>
      <c r="O68" s="956">
        <f>O60*$C$66</f>
        <v>0</v>
      </c>
      <c r="Q68" s="956">
        <f>Q60*$C$66</f>
        <v>0</v>
      </c>
      <c r="S68" s="956">
        <f>S60*$C$66</f>
        <v>0</v>
      </c>
      <c r="U68" s="956">
        <f>U60*$C$66</f>
        <v>0</v>
      </c>
      <c r="W68" s="956">
        <f>W60*$C$66</f>
        <v>0</v>
      </c>
      <c r="Y68" s="956">
        <f>Y60*$C$66</f>
        <v>0</v>
      </c>
      <c r="AA68" s="956">
        <f>AA60*$C$66</f>
        <v>0</v>
      </c>
      <c r="AC68" s="956">
        <f>AC60*$C$66</f>
        <v>0</v>
      </c>
      <c r="AE68" s="956">
        <f>AE60*$C$66</f>
        <v>0</v>
      </c>
      <c r="AG68" s="956">
        <f>AG60*$C$66</f>
        <v>0</v>
      </c>
    </row>
    <row r="69" spans="1:34" s="956" customFormat="1">
      <c r="A69" s="961"/>
      <c r="B69" s="961"/>
      <c r="C69" s="966"/>
      <c r="E69" s="961"/>
      <c r="G69" s="956">
        <f t="shared" ref="G69:AG70" si="4">E69*$C$67</f>
        <v>0</v>
      </c>
      <c r="I69" s="956">
        <f t="shared" si="4"/>
        <v>0</v>
      </c>
      <c r="K69" s="956">
        <f t="shared" si="4"/>
        <v>0</v>
      </c>
      <c r="M69" s="956">
        <f t="shared" si="4"/>
        <v>0</v>
      </c>
      <c r="O69" s="956">
        <f t="shared" si="4"/>
        <v>0</v>
      </c>
      <c r="Q69" s="956">
        <f t="shared" si="4"/>
        <v>0</v>
      </c>
      <c r="S69" s="956">
        <f t="shared" si="4"/>
        <v>0</v>
      </c>
      <c r="U69" s="956">
        <f t="shared" si="4"/>
        <v>0</v>
      </c>
      <c r="W69" s="956">
        <f t="shared" si="4"/>
        <v>0</v>
      </c>
      <c r="Y69" s="956">
        <f t="shared" si="4"/>
        <v>0</v>
      </c>
      <c r="AA69" s="956">
        <f t="shared" si="4"/>
        <v>0</v>
      </c>
      <c r="AC69" s="956">
        <f t="shared" si="4"/>
        <v>0</v>
      </c>
      <c r="AE69" s="956">
        <f t="shared" si="4"/>
        <v>0</v>
      </c>
      <c r="AG69" s="956">
        <f t="shared" si="4"/>
        <v>0</v>
      </c>
    </row>
    <row r="70" spans="1:34" s="956" customFormat="1">
      <c r="A70" s="961"/>
      <c r="B70" s="961"/>
      <c r="C70" s="966"/>
      <c r="E70" s="963"/>
      <c r="G70" s="964">
        <f t="shared" si="4"/>
        <v>0</v>
      </c>
      <c r="I70" s="964">
        <f t="shared" si="4"/>
        <v>0</v>
      </c>
      <c r="K70" s="964">
        <f t="shared" si="4"/>
        <v>0</v>
      </c>
      <c r="M70" s="964">
        <f t="shared" si="4"/>
        <v>0</v>
      </c>
      <c r="O70" s="964">
        <f t="shared" si="4"/>
        <v>0</v>
      </c>
      <c r="Q70" s="964">
        <f t="shared" si="4"/>
        <v>0</v>
      </c>
      <c r="S70" s="964">
        <f t="shared" si="4"/>
        <v>0</v>
      </c>
      <c r="U70" s="964">
        <f t="shared" si="4"/>
        <v>0</v>
      </c>
      <c r="W70" s="964">
        <f t="shared" si="4"/>
        <v>0</v>
      </c>
      <c r="Y70" s="964">
        <f t="shared" si="4"/>
        <v>0</v>
      </c>
      <c r="AA70" s="964">
        <f t="shared" si="4"/>
        <v>0</v>
      </c>
      <c r="AC70" s="964">
        <f t="shared" si="4"/>
        <v>0</v>
      </c>
      <c r="AE70" s="964">
        <f t="shared" si="4"/>
        <v>0</v>
      </c>
      <c r="AG70" s="964">
        <f t="shared" si="4"/>
        <v>0</v>
      </c>
    </row>
    <row r="71" spans="1:34" s="956" customFormat="1">
      <c r="A71" s="958" t="s">
        <v>852</v>
      </c>
      <c r="C71" s="966"/>
      <c r="E71" s="956">
        <f>SUM(E67:E70)</f>
        <v>0</v>
      </c>
      <c r="G71" s="956">
        <f>SUM(G67:G70)</f>
        <v>0</v>
      </c>
      <c r="I71" s="956">
        <f>SUM(I67:I70)</f>
        <v>0</v>
      </c>
      <c r="K71" s="956">
        <f>SUM(K67:K70)</f>
        <v>0</v>
      </c>
      <c r="M71" s="956">
        <f>SUM(M67:M70)</f>
        <v>0</v>
      </c>
      <c r="O71" s="956">
        <f>SUM(O67:O70)</f>
        <v>0</v>
      </c>
      <c r="Q71" s="956">
        <f>SUM(Q67:Q70)</f>
        <v>0</v>
      </c>
      <c r="S71" s="956">
        <f>SUM(S67:S70)</f>
        <v>0</v>
      </c>
      <c r="U71" s="956">
        <f>SUM(U67:U70)</f>
        <v>0</v>
      </c>
      <c r="W71" s="956">
        <f>SUM(W67:W70)</f>
        <v>0</v>
      </c>
      <c r="Y71" s="956">
        <f>SUM(Y67:Y70)</f>
        <v>0</v>
      </c>
      <c r="AA71" s="956">
        <f>SUM(AA67:AA70)</f>
        <v>0</v>
      </c>
      <c r="AC71" s="956">
        <f>SUM(AC67:AC70)</f>
        <v>0</v>
      </c>
      <c r="AE71" s="956">
        <f>SUM(AE67:AE70)</f>
        <v>0</v>
      </c>
      <c r="AG71" s="956">
        <f>SUM(AG67:AG70)</f>
        <v>0</v>
      </c>
    </row>
    <row r="72" spans="1:34" s="956" customFormat="1">
      <c r="A72" s="958"/>
      <c r="C72" s="966"/>
    </row>
    <row r="73" spans="1:34" s="956" customFormat="1">
      <c r="A73" s="958" t="s">
        <v>1710</v>
      </c>
      <c r="C73" s="966"/>
      <c r="E73" s="958">
        <f>E60-E62-E71</f>
        <v>0</v>
      </c>
      <c r="G73" s="958">
        <f>G60-G62-G71</f>
        <v>0</v>
      </c>
      <c r="I73" s="958">
        <f>I60-I62-I71</f>
        <v>0</v>
      </c>
      <c r="K73" s="958">
        <f>K60-K62-K71</f>
        <v>0</v>
      </c>
      <c r="M73" s="958">
        <f>M60-M62-M71</f>
        <v>0</v>
      </c>
      <c r="O73" s="958">
        <f>O60-O62-O71</f>
        <v>0</v>
      </c>
      <c r="Q73" s="958">
        <f>Q60-Q62-Q71</f>
        <v>0</v>
      </c>
      <c r="S73" s="958">
        <f>S60-S62-S71</f>
        <v>0</v>
      </c>
      <c r="U73" s="958">
        <f>U60-U62-U71</f>
        <v>0</v>
      </c>
      <c r="W73" s="958">
        <f>W60-W62-W71</f>
        <v>0</v>
      </c>
      <c r="Y73" s="958">
        <f>Y60-Y62-Y71</f>
        <v>0</v>
      </c>
      <c r="AA73" s="958">
        <f>AA60-AA62-AA71</f>
        <v>0</v>
      </c>
      <c r="AC73" s="958">
        <f>AC60-AC62-AC71</f>
        <v>0</v>
      </c>
      <c r="AE73" s="958">
        <f>AE60-AE62-AE71</f>
        <v>0</v>
      </c>
      <c r="AG73" s="958">
        <f>IF(AG63=0,AG62-AE63,AG60)</f>
        <v>35587.395518358913</v>
      </c>
    </row>
    <row r="74" spans="1:34" s="956" customFormat="1">
      <c r="A74" s="529"/>
      <c r="C74" s="966"/>
    </row>
    <row r="75" spans="1:34" s="217" customFormat="1">
      <c r="A75" s="529"/>
      <c r="C75" s="183"/>
    </row>
    <row r="76" spans="1:34" s="217" customFormat="1">
      <c r="A76" s="956" t="s">
        <v>1709</v>
      </c>
      <c r="C76" s="183"/>
    </row>
    <row r="77" spans="1:34" s="217" customFormat="1">
      <c r="C77" s="183"/>
    </row>
    <row r="78" spans="1:34" s="234" customFormat="1" ht="30" customHeight="1">
      <c r="A78" s="2688" t="s">
        <v>1708</v>
      </c>
      <c r="B78" s="2689"/>
      <c r="C78" s="2689"/>
      <c r="D78" s="2689"/>
      <c r="E78" s="2689"/>
      <c r="F78" s="2689"/>
      <c r="G78" s="2689"/>
      <c r="H78" s="2689"/>
      <c r="I78" s="2689"/>
      <c r="J78" s="2689"/>
      <c r="K78" s="2689"/>
      <c r="L78" s="2689"/>
      <c r="M78" s="2689"/>
      <c r="N78" s="2689"/>
      <c r="O78" s="2689"/>
      <c r="P78" s="2689"/>
      <c r="Q78" s="2689"/>
      <c r="R78" s="2689"/>
      <c r="S78" s="2689"/>
      <c r="T78" s="2689"/>
      <c r="U78" s="2689"/>
      <c r="V78" s="2689"/>
      <c r="W78" s="2689"/>
      <c r="X78" s="2689"/>
      <c r="Y78" s="2689"/>
      <c r="Z78" s="2689"/>
      <c r="AA78" s="2689"/>
      <c r="AB78" s="2689"/>
      <c r="AC78" s="2689"/>
      <c r="AD78" s="2689"/>
      <c r="AE78" s="2689"/>
      <c r="AF78" s="2689"/>
      <c r="AG78" s="2689"/>
    </row>
    <row r="79"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2:C52"/>
    <mergeCell ref="A64:C64"/>
  </mergeCells>
  <dataValidations count="1">
    <dataValidation type="list" allowBlank="1" showInputMessage="1" showErrorMessage="1" sqref="A52:C52 A64:C64" xr:uid="{0ACE1C3D-284C-4EF1-9E0D-27C9FFA2F175}">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295000</v>
      </c>
      <c r="C6" s="266">
        <f>'Sources and Uses Budget'!$C5</f>
        <v>295000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295000</v>
      </c>
      <c r="C9" s="270">
        <f>SUM(C5:C8)</f>
        <v>295000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167000</v>
      </c>
      <c r="C11" s="266">
        <f>'Sources and Uses Budget'!$C10</f>
        <v>167000</v>
      </c>
      <c r="D11" s="270">
        <f t="shared" si="0"/>
        <v>0</v>
      </c>
      <c r="E11" s="268"/>
      <c r="F11" s="267"/>
    </row>
    <row r="12" spans="1:6" s="352" customFormat="1">
      <c r="A12" s="365" t="s">
        <v>595</v>
      </c>
      <c r="B12" s="270">
        <f>SUM(B10:B11)</f>
        <v>167000</v>
      </c>
      <c r="C12" s="270">
        <f>SUM(C10:C11)</f>
        <v>167000</v>
      </c>
      <c r="D12" s="270">
        <f t="shared" si="0"/>
        <v>0</v>
      </c>
      <c r="E12" s="268"/>
      <c r="F12" s="267"/>
    </row>
    <row r="13" spans="1:6" s="352" customFormat="1">
      <c r="A13" s="365" t="s">
        <v>84</v>
      </c>
      <c r="B13" s="270">
        <f>SUM(B9+B12)</f>
        <v>462000</v>
      </c>
      <c r="C13" s="270">
        <f>SUM(C9+C12)</f>
        <v>462000</v>
      </c>
      <c r="D13" s="270">
        <f t="shared" si="0"/>
        <v>0</v>
      </c>
      <c r="E13" s="268"/>
      <c r="F13" s="267"/>
    </row>
    <row r="14" spans="1:6" s="352" customFormat="1">
      <c r="A14" s="366" t="s">
        <v>900</v>
      </c>
      <c r="B14" s="266">
        <f>'Sources and Uses Budget'!$C13</f>
        <v>649563</v>
      </c>
      <c r="C14" s="266">
        <f>'Sources and Uses Budget'!$C13</f>
        <v>649563</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30447140</v>
      </c>
      <c r="C31" s="266">
        <f>'Sources and Uses Budget'!$C30</f>
        <v>30447140</v>
      </c>
      <c r="D31" s="270">
        <f t="shared" si="0"/>
        <v>0</v>
      </c>
      <c r="E31" s="268"/>
      <c r="F31" s="267"/>
    </row>
    <row r="32" spans="1:6" s="352" customFormat="1">
      <c r="A32" s="145" t="s">
        <v>599</v>
      </c>
      <c r="B32" s="266">
        <f>'Sources and Uses Budget'!$C31</f>
        <v>1806420</v>
      </c>
      <c r="C32" s="266">
        <f>'Sources and Uses Budget'!$C31</f>
        <v>1806420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1300622</v>
      </c>
      <c r="C34" s="266">
        <f>'Sources and Uses Budget'!$C33</f>
        <v>1300622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84540</v>
      </c>
      <c r="C36" s="266">
        <f>'Sources and Uses Budget'!$C35</f>
        <v>84540</v>
      </c>
      <c r="D36" s="270">
        <f t="shared" si="0"/>
        <v>0</v>
      </c>
      <c r="E36" s="268"/>
      <c r="F36" s="267"/>
    </row>
    <row r="37" spans="1:6" s="352" customFormat="1">
      <c r="A37" s="283" t="s">
        <v>1627</v>
      </c>
      <c r="B37" s="266">
        <f>'Sources and Uses Budget'!$C36</f>
        <v>170000</v>
      </c>
      <c r="C37" s="266">
        <f>'Sources and Uses Budget'!$C36</f>
        <v>170000</v>
      </c>
      <c r="D37" s="270"/>
      <c r="E37" s="268"/>
      <c r="F37" s="267"/>
    </row>
    <row r="38" spans="1:6" s="352" customFormat="1">
      <c r="A38" s="155" t="str">
        <f>'Sources and Uses Budget'!A37</f>
        <v xml:space="preserve">Other: Payment &amp; Performance Bonds </v>
      </c>
      <c r="B38" s="266">
        <f>'Sources and Uses Budget'!$C37</f>
        <v>339007</v>
      </c>
      <c r="C38" s="266">
        <f>'Sources and Uses Budget'!$C37</f>
        <v>339007</v>
      </c>
      <c r="D38" s="270">
        <f t="shared" si="0"/>
        <v>0</v>
      </c>
      <c r="E38" s="268"/>
      <c r="F38" s="267"/>
    </row>
    <row r="39" spans="1:6" s="352" customFormat="1">
      <c r="A39" s="271" t="s">
        <v>143</v>
      </c>
      <c r="B39" s="270">
        <f>SUM(B30:B38)</f>
        <v>34147729</v>
      </c>
      <c r="C39" s="270">
        <f>SUM(C30:C38)</f>
        <v>34147729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1140700</v>
      </c>
      <c r="C41" s="266">
        <f>'Sources and Uses Budget'!$C40</f>
        <v>1140700</v>
      </c>
      <c r="D41" s="270">
        <f t="shared" si="0"/>
        <v>0</v>
      </c>
      <c r="E41" s="268"/>
      <c r="F41" s="267"/>
    </row>
    <row r="42" spans="1:6" s="352" customFormat="1">
      <c r="A42" s="269" t="s">
        <v>146</v>
      </c>
      <c r="B42" s="266">
        <f>'Sources and Uses Budget'!$C41</f>
        <v>275000</v>
      </c>
      <c r="C42" s="266">
        <f>'Sources and Uses Budget'!$C41</f>
        <v>275000</v>
      </c>
      <c r="D42" s="270">
        <f t="shared" si="0"/>
        <v>0</v>
      </c>
      <c r="E42" s="268"/>
      <c r="F42" s="267"/>
    </row>
    <row r="43" spans="1:6" s="352" customFormat="1">
      <c r="A43" s="271" t="s">
        <v>147</v>
      </c>
      <c r="B43" s="270">
        <f>SUM(B41:B42)</f>
        <v>1415700</v>
      </c>
      <c r="C43" s="270">
        <f>SUM(C41:C42)</f>
        <v>1415700</v>
      </c>
      <c r="D43" s="270">
        <f t="shared" si="0"/>
        <v>0</v>
      </c>
      <c r="E43" s="268"/>
      <c r="F43" s="267"/>
    </row>
    <row r="44" spans="1:6" s="352" customFormat="1">
      <c r="A44" s="271" t="s">
        <v>148</v>
      </c>
      <c r="B44" s="266">
        <f>'Sources and Uses Budget'!$C43</f>
        <v>1162010</v>
      </c>
      <c r="C44" s="266">
        <f>'Sources and Uses Budget'!$C43</f>
        <v>1162010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1500424</v>
      </c>
      <c r="C46" s="266">
        <f>'Sources and Uses Budget'!$C45</f>
        <v>1500424</v>
      </c>
      <c r="D46" s="270">
        <f t="shared" si="0"/>
        <v>0</v>
      </c>
      <c r="E46" s="268"/>
      <c r="F46" s="267"/>
    </row>
    <row r="47" spans="1:6" s="352" customFormat="1">
      <c r="A47" s="145" t="s">
        <v>151</v>
      </c>
      <c r="B47" s="266">
        <f>'Sources and Uses Budget'!$C46</f>
        <v>471545</v>
      </c>
      <c r="C47" s="266">
        <f>'Sources and Uses Budget'!$C46</f>
        <v>471545</v>
      </c>
      <c r="D47" s="270">
        <f t="shared" si="0"/>
        <v>0</v>
      </c>
      <c r="E47" s="268"/>
      <c r="F47" s="267"/>
    </row>
    <row r="48" spans="1:6" s="352" customFormat="1" ht="12" customHeight="1">
      <c r="A48" s="186" t="s">
        <v>152</v>
      </c>
      <c r="B48" s="266">
        <f>'Sources and Uses Budget'!$C47</f>
        <v>1024000</v>
      </c>
      <c r="C48" s="266">
        <f>'Sources and Uses Budget'!$C47</f>
        <v>1024000</v>
      </c>
      <c r="D48" s="270">
        <f t="shared" si="0"/>
        <v>0</v>
      </c>
      <c r="E48" s="268"/>
      <c r="F48" s="267"/>
    </row>
    <row r="49" spans="1:6" s="352" customFormat="1">
      <c r="A49" s="145" t="s">
        <v>153</v>
      </c>
      <c r="B49" s="266">
        <f>'Sources and Uses Budget'!$C48</f>
        <v>191432</v>
      </c>
      <c r="C49" s="266">
        <f>'Sources and Uses Budget'!$C48</f>
        <v>191432</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101000</v>
      </c>
      <c r="C51" s="266">
        <f>'Sources and Uses Budget'!$C50</f>
        <v>101000</v>
      </c>
      <c r="D51" s="270">
        <f t="shared" si="0"/>
        <v>0</v>
      </c>
      <c r="E51" s="268"/>
      <c r="F51" s="267"/>
    </row>
    <row r="52" spans="1:6" s="352" customFormat="1">
      <c r="A52" s="283" t="s">
        <v>154</v>
      </c>
      <c r="B52" s="266">
        <f>'Sources and Uses Budget'!$C51</f>
        <v>70000</v>
      </c>
      <c r="C52" s="266">
        <f>'Sources and Uses Budget'!$C51</f>
        <v>70000</v>
      </c>
      <c r="D52" s="270">
        <f t="shared" si="0"/>
        <v>0</v>
      </c>
      <c r="E52" s="268"/>
      <c r="F52" s="267"/>
    </row>
    <row r="53" spans="1:6" s="352" customFormat="1">
      <c r="A53" s="145" t="s">
        <v>155</v>
      </c>
      <c r="B53" s="266">
        <f>'Sources and Uses Budget'!$C52</f>
        <v>597078</v>
      </c>
      <c r="C53" s="266">
        <f>'Sources and Uses Budget'!$C52</f>
        <v>597078</v>
      </c>
      <c r="D53" s="270">
        <f t="shared" si="0"/>
        <v>0</v>
      </c>
      <c r="E53" s="268"/>
      <c r="F53" s="267"/>
    </row>
    <row r="54" spans="1:6" s="352" customFormat="1" ht="24">
      <c r="A54" s="155" t="str">
        <f>'Sources and Uses Budget'!A53</f>
        <v>Other: Construction Loan Interest (Soft Debt Lenders)</v>
      </c>
      <c r="B54" s="266">
        <f>'Sources and Uses Budget'!$C53</f>
        <v>1590000</v>
      </c>
      <c r="C54" s="266">
        <f>'Sources and Uses Budget'!$C53</f>
        <v>1590000</v>
      </c>
      <c r="D54" s="270">
        <f t="shared" si="0"/>
        <v>0</v>
      </c>
      <c r="E54" s="268"/>
      <c r="F54" s="267"/>
    </row>
    <row r="55" spans="1:6" s="353" customFormat="1">
      <c r="A55" s="271" t="s">
        <v>157</v>
      </c>
      <c r="B55" s="273">
        <f>SUM(B46:B54)</f>
        <v>5545479</v>
      </c>
      <c r="C55" s="273">
        <f>SUM(C46:C54)</f>
        <v>5545479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164285</v>
      </c>
      <c r="C57" s="266">
        <f>'Sources and Uses Budget'!$C56</f>
        <v>164285</v>
      </c>
      <c r="D57" s="270">
        <f t="shared" si="0"/>
        <v>0</v>
      </c>
      <c r="E57" s="268"/>
      <c r="F57" s="267"/>
    </row>
    <row r="58" spans="1:6" s="352" customFormat="1" ht="12" customHeight="1">
      <c r="A58" s="269" t="s">
        <v>152</v>
      </c>
      <c r="B58" s="266">
        <f>'Sources and Uses Budget'!$C57</f>
        <v>20000</v>
      </c>
      <c r="C58" s="266">
        <f>'Sources and Uses Budget'!$C57</f>
        <v>20000</v>
      </c>
      <c r="D58" s="270">
        <f t="shared" si="0"/>
        <v>0</v>
      </c>
      <c r="E58" s="268"/>
      <c r="F58" s="267"/>
    </row>
    <row r="59" spans="1:6" s="352" customFormat="1">
      <c r="A59" s="269" t="s">
        <v>156</v>
      </c>
      <c r="B59" s="266">
        <f>'Sources and Uses Budget'!$C58</f>
        <v>35000</v>
      </c>
      <c r="C59" s="266">
        <f>'Sources and Uses Budget'!$C58</f>
        <v>35000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 xml:space="preserve">Other: Perm Loan Interest (Construction Lender &amp; Soft Debt Lender) </v>
      </c>
      <c r="B62" s="266">
        <f>'Sources and Uses Budget'!$C61</f>
        <v>3603552</v>
      </c>
      <c r="C62" s="266">
        <f>'Sources and Uses Budget'!$C61</f>
        <v>3603552</v>
      </c>
      <c r="D62" s="270">
        <f t="shared" si="0"/>
        <v>0</v>
      </c>
      <c r="E62" s="268"/>
      <c r="F62" s="267"/>
    </row>
    <row r="63" spans="1:6" s="352" customFormat="1" ht="13.7" customHeight="1">
      <c r="A63" s="271" t="s">
        <v>301</v>
      </c>
      <c r="B63" s="270">
        <f>SUM(B57:B62)</f>
        <v>3822837</v>
      </c>
      <c r="C63" s="270">
        <f>SUM(C57:C62)</f>
        <v>3822837</v>
      </c>
      <c r="D63" s="270">
        <f t="shared" si="0"/>
        <v>0</v>
      </c>
      <c r="E63" s="268"/>
      <c r="F63" s="267"/>
    </row>
    <row r="64" spans="1:6" s="352" customFormat="1">
      <c r="A64" s="274" t="s">
        <v>302</v>
      </c>
      <c r="B64" s="270">
        <f>SUM(B9+B12+B14+B15+B17+B26+B28+B39+B43+B44+B55+B63)</f>
        <v>47205318</v>
      </c>
      <c r="C64" s="270">
        <f>SUM(C9+C12+C14+C15+C17+C26+C28+C39+C43+C44+C55+C63)</f>
        <v>47205318</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213500</v>
      </c>
      <c r="C66" s="266">
        <f>'Sources and Uses Budget'!$C65</f>
        <v>213500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215000</v>
      </c>
      <c r="C68" s="266">
        <f>'Sources and Uses Budget'!$C67</f>
        <v>215000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 xml:space="preserve">Other: Partnership Legal/Other </v>
      </c>
      <c r="B70" s="266">
        <f>'Sources and Uses Budget'!$C69</f>
        <v>415000</v>
      </c>
      <c r="C70" s="266">
        <f>'Sources and Uses Budget'!$C69</f>
        <v>415000</v>
      </c>
      <c r="D70" s="270">
        <f t="shared" si="0"/>
        <v>0</v>
      </c>
      <c r="E70" s="268"/>
      <c r="F70" s="267"/>
    </row>
    <row r="71" spans="1:6" s="352" customFormat="1">
      <c r="A71" s="149" t="s">
        <v>1632</v>
      </c>
      <c r="B71" s="270">
        <f>SUM(B66:B70)</f>
        <v>843500</v>
      </c>
      <c r="C71" s="270">
        <f>SUM(C66:C70)</f>
        <v>843500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831202</v>
      </c>
      <c r="C76" s="266">
        <f>'Sources and Uses Budget'!$C75</f>
        <v>831202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831202</v>
      </c>
      <c r="C78" s="270">
        <f>SUM(C73:C77)</f>
        <v>831202</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1711987</v>
      </c>
      <c r="C80" s="266">
        <f>'Sources and Uses Budget'!$C79</f>
        <v>1711987</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1207</v>
      </c>
      <c r="B82" s="270">
        <f>SUM(B80:B81)</f>
        <v>2461987</v>
      </c>
      <c r="C82" s="270">
        <f>SUM(C80:C81)</f>
        <v>2461987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235000</v>
      </c>
      <c r="C84" s="266">
        <f>'Sources and Uses Budget'!$C83</f>
        <v>235000</v>
      </c>
      <c r="D84" s="270">
        <f t="shared" si="1"/>
        <v>0</v>
      </c>
      <c r="E84" s="268"/>
      <c r="F84" s="267"/>
    </row>
    <row r="85" spans="1:6" s="352" customFormat="1">
      <c r="A85" s="269" t="s">
        <v>766</v>
      </c>
      <c r="B85" s="266">
        <f>'Sources and Uses Budget'!$C84</f>
        <v>103000</v>
      </c>
      <c r="C85" s="266">
        <f>'Sources and Uses Budget'!$C84</f>
        <v>103000</v>
      </c>
      <c r="D85" s="270">
        <f t="shared" si="1"/>
        <v>0</v>
      </c>
      <c r="E85" s="268"/>
      <c r="F85" s="267"/>
    </row>
    <row r="86" spans="1:6" s="352" customFormat="1">
      <c r="A86" s="269" t="s">
        <v>767</v>
      </c>
      <c r="B86" s="266">
        <f>'Sources and Uses Budget'!$C85</f>
        <v>2094595</v>
      </c>
      <c r="C86" s="266">
        <f>'Sources and Uses Budget'!$C85</f>
        <v>2094595</v>
      </c>
      <c r="D86" s="270">
        <f t="shared" si="1"/>
        <v>0</v>
      </c>
      <c r="E86" s="268"/>
      <c r="F86" s="267"/>
    </row>
    <row r="87" spans="1:6" s="352" customFormat="1">
      <c r="A87" s="269" t="s">
        <v>768</v>
      </c>
      <c r="B87" s="266">
        <f>'Sources and Uses Budget'!$C86</f>
        <v>875872</v>
      </c>
      <c r="C87" s="266">
        <f>'Sources and Uses Budget'!$C86</f>
        <v>875872</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360000</v>
      </c>
      <c r="C89" s="266">
        <f>'Sources and Uses Budget'!$C88</f>
        <v>360000</v>
      </c>
      <c r="D89" s="270">
        <f t="shared" si="1"/>
        <v>0</v>
      </c>
      <c r="E89" s="268"/>
      <c r="F89" s="267"/>
    </row>
    <row r="90" spans="1:6" s="352" customFormat="1">
      <c r="A90" s="269" t="s">
        <v>771</v>
      </c>
      <c r="B90" s="266">
        <f>'Sources and Uses Budget'!$C89</f>
        <v>380200</v>
      </c>
      <c r="C90" s="266">
        <f>'Sources and Uses Budget'!$C89</f>
        <v>380200</v>
      </c>
      <c r="D90" s="270">
        <f t="shared" si="1"/>
        <v>0</v>
      </c>
      <c r="E90" s="268"/>
      <c r="F90" s="267"/>
    </row>
    <row r="91" spans="1:6" s="352" customFormat="1">
      <c r="A91" s="269" t="s">
        <v>772</v>
      </c>
      <c r="B91" s="266">
        <f>'Sources and Uses Budget'!$C90</f>
        <v>7750</v>
      </c>
      <c r="C91" s="266">
        <f>'Sources and Uses Budget'!$C90</f>
        <v>7750</v>
      </c>
      <c r="D91" s="270">
        <f t="shared" si="1"/>
        <v>0</v>
      </c>
      <c r="E91" s="268"/>
      <c r="F91" s="267"/>
    </row>
    <row r="92" spans="1:6" s="352" customFormat="1">
      <c r="A92" s="269" t="s">
        <v>372</v>
      </c>
      <c r="B92" s="266">
        <f>'Sources and Uses Budget'!$C91</f>
        <v>204000</v>
      </c>
      <c r="C92" s="266">
        <f>'Sources and Uses Budget'!$C91</f>
        <v>204000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7879</v>
      </c>
      <c r="C94" s="266">
        <f>'Sources and Uses Budget'!$C93</f>
        <v>7879</v>
      </c>
      <c r="D94" s="270">
        <f t="shared" si="1"/>
        <v>0</v>
      </c>
      <c r="E94" s="268"/>
      <c r="F94" s="267"/>
    </row>
    <row r="95" spans="1:6" s="352" customFormat="1">
      <c r="A95" s="272" t="s">
        <v>34</v>
      </c>
      <c r="B95" s="266">
        <f>'Sources and Uses Budget'!$C94</f>
        <v>42400</v>
      </c>
      <c r="C95" s="266">
        <f>'Sources and Uses Budget'!$C94</f>
        <v>42400</v>
      </c>
      <c r="D95" s="270">
        <f t="shared" si="1"/>
        <v>0</v>
      </c>
      <c r="E95" s="268"/>
      <c r="F95" s="267"/>
    </row>
    <row r="96" spans="1:6" s="352" customFormat="1">
      <c r="A96" s="272" t="s">
        <v>34</v>
      </c>
      <c r="B96" s="266">
        <f>'Sources and Uses Budget'!$C95</f>
        <v>1168572</v>
      </c>
      <c r="C96" s="266">
        <f>'Sources and Uses Budget'!$C95</f>
        <v>1168572</v>
      </c>
      <c r="D96" s="270">
        <f t="shared" si="1"/>
        <v>0</v>
      </c>
      <c r="E96" s="268"/>
      <c r="F96" s="267"/>
    </row>
    <row r="97" spans="1:6" s="352" customFormat="1">
      <c r="A97" s="271" t="s">
        <v>773</v>
      </c>
      <c r="B97" s="270">
        <f>SUM(B84:B96)</f>
        <v>5479268</v>
      </c>
      <c r="C97" s="270">
        <f>SUM(C84:C96)</f>
        <v>5479268</v>
      </c>
      <c r="D97" s="270">
        <f t="shared" si="1"/>
        <v>0</v>
      </c>
      <c r="E97" s="268"/>
      <c r="F97" s="267"/>
    </row>
    <row r="98" spans="1:6" s="352" customFormat="1">
      <c r="A98" s="271" t="s">
        <v>774</v>
      </c>
      <c r="B98" s="270">
        <f>SUM(B64+B71+B78+B82+B97)</f>
        <v>56821275</v>
      </c>
      <c r="C98" s="270">
        <f>SUM(C64+C71+C78+C82+C97)</f>
        <v>56821275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7267909</v>
      </c>
      <c r="C100" s="266">
        <f>'Sources and Uses Budget'!$C99</f>
        <v>7267909</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7267909</v>
      </c>
      <c r="C105" s="270">
        <f>SUM(C100:C104)</f>
        <v>7267909</v>
      </c>
      <c r="D105" s="270">
        <f t="shared" si="1"/>
        <v>0</v>
      </c>
      <c r="E105" s="268"/>
      <c r="F105" s="267"/>
    </row>
    <row r="106" spans="1:6" s="352" customFormat="1">
      <c r="A106" s="271" t="s">
        <v>779</v>
      </c>
      <c r="B106" s="273">
        <f>SUM(B98+B105)</f>
        <v>64089184</v>
      </c>
      <c r="C106" s="273">
        <f>SUM(C98+C105)</f>
        <v>64089184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4" t="s">
        <v>1840</v>
      </c>
      <c r="B1" s="1815"/>
      <c r="C1" s="1815"/>
      <c r="D1" s="1815"/>
      <c r="E1" s="1815"/>
      <c r="F1" s="1815"/>
      <c r="G1" s="1815"/>
      <c r="H1" s="1815"/>
      <c r="I1" s="1815"/>
      <c r="J1" s="1815"/>
    </row>
    <row r="2" spans="1:10" ht="15">
      <c r="A2" s="1818" t="s">
        <v>1266</v>
      </c>
      <c r="B2" s="1819"/>
      <c r="C2" s="1819"/>
      <c r="D2" s="1819"/>
      <c r="E2" s="1819"/>
      <c r="F2" s="1819"/>
      <c r="G2" s="1819"/>
      <c r="H2" s="1819"/>
      <c r="I2" s="1819"/>
      <c r="J2" s="1819"/>
    </row>
    <row r="3" spans="1:10" ht="12.75"/>
    <row r="4" spans="1:10" ht="12.75" customHeight="1">
      <c r="A4" s="1816" t="s">
        <v>2003</v>
      </c>
      <c r="B4" s="1816"/>
      <c r="C4" s="1816"/>
      <c r="D4" s="1816"/>
      <c r="E4" s="1816"/>
      <c r="F4" s="1816"/>
      <c r="G4" s="1816"/>
      <c r="H4" s="1816"/>
      <c r="I4" s="1816"/>
      <c r="J4" s="1816"/>
    </row>
    <row r="5" spans="1:10" ht="12.75">
      <c r="A5" s="1816"/>
      <c r="B5" s="1816"/>
      <c r="C5" s="1816"/>
      <c r="D5" s="1816"/>
      <c r="E5" s="1816"/>
      <c r="F5" s="1816"/>
      <c r="G5" s="1816"/>
      <c r="H5" s="1816"/>
      <c r="I5" s="1816"/>
      <c r="J5" s="1816"/>
    </row>
    <row r="6" spans="1:10" ht="30" customHeight="1">
      <c r="A6" s="1816"/>
      <c r="B6" s="1816"/>
      <c r="C6" s="1816"/>
      <c r="D6" s="1816"/>
      <c r="E6" s="1816"/>
      <c r="F6" s="1816"/>
      <c r="G6" s="1816"/>
      <c r="H6" s="1816"/>
      <c r="I6" s="1816"/>
      <c r="J6" s="1816"/>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820" t="s">
        <v>1845</v>
      </c>
      <c r="B10" s="1820"/>
      <c r="C10" s="1820"/>
      <c r="D10" s="1820"/>
      <c r="E10" s="1820"/>
      <c r="F10" s="1820"/>
      <c r="G10" s="1820"/>
      <c r="H10" s="1820"/>
      <c r="I10" s="1820"/>
      <c r="J10" s="1820"/>
    </row>
    <row r="11" spans="1:10" ht="12.75">
      <c r="A11" s="1820"/>
      <c r="B11" s="1820"/>
      <c r="C11" s="1820"/>
      <c r="D11" s="1820"/>
      <c r="E11" s="1820"/>
      <c r="F11" s="1820"/>
      <c r="G11" s="1820"/>
      <c r="H11" s="1820"/>
      <c r="I11" s="1820"/>
      <c r="J11" s="1820"/>
    </row>
    <row r="12" spans="1:10" ht="12.75">
      <c r="A12" s="1820"/>
      <c r="B12" s="1820"/>
      <c r="C12" s="1820"/>
      <c r="D12" s="1820"/>
      <c r="E12" s="1820"/>
      <c r="F12" s="1820"/>
      <c r="G12" s="1820"/>
      <c r="H12" s="1820"/>
      <c r="I12" s="1820"/>
      <c r="J12" s="1820"/>
    </row>
    <row r="13" spans="1:10" ht="12.75">
      <c r="A13" s="1820"/>
      <c r="B13" s="1820"/>
      <c r="C13" s="1820"/>
      <c r="D13" s="1820"/>
      <c r="E13" s="1820"/>
      <c r="F13" s="1820"/>
      <c r="G13" s="1820"/>
      <c r="H13" s="1820"/>
      <c r="I13" s="1820"/>
      <c r="J13" s="1820"/>
    </row>
    <row r="14" spans="1:10" ht="12.75">
      <c r="A14" s="1820"/>
      <c r="B14" s="1820"/>
      <c r="C14" s="1820"/>
      <c r="D14" s="1820"/>
      <c r="E14" s="1820"/>
      <c r="F14" s="1820"/>
      <c r="G14" s="1820"/>
      <c r="H14" s="1820"/>
      <c r="I14" s="1820"/>
      <c r="J14" s="1820"/>
    </row>
    <row r="15" spans="1:10" ht="12.75">
      <c r="A15" s="1820"/>
      <c r="B15" s="1820"/>
      <c r="C15" s="1820"/>
      <c r="D15" s="1820"/>
      <c r="E15" s="1820"/>
      <c r="F15" s="1820"/>
      <c r="G15" s="1820"/>
      <c r="H15" s="1820"/>
      <c r="I15" s="1820"/>
      <c r="J15" s="1820"/>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9" t="s">
        <v>1187</v>
      </c>
      <c r="B19" s="1819"/>
      <c r="C19" s="1819"/>
      <c r="D19" s="1819"/>
      <c r="E19" s="181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6" t="s">
        <v>1188</v>
      </c>
      <c r="B76" s="1816"/>
      <c r="C76" s="1816"/>
      <c r="D76" s="1816"/>
      <c r="E76" s="1816"/>
      <c r="F76" s="1816"/>
      <c r="G76" s="1816"/>
      <c r="H76" s="1816"/>
      <c r="I76" s="1816"/>
      <c r="J76" s="1816"/>
    </row>
    <row r="77" spans="1:10" ht="12.75">
      <c r="A77" s="1816"/>
      <c r="B77" s="1816"/>
      <c r="C77" s="1816"/>
      <c r="D77" s="1816"/>
      <c r="E77" s="1816"/>
      <c r="F77" s="1816"/>
      <c r="G77" s="1816"/>
      <c r="H77" s="1816"/>
      <c r="I77" s="1816"/>
      <c r="J77" s="1816"/>
    </row>
    <row r="78" spans="1:10" ht="12.75">
      <c r="A78" s="1816"/>
      <c r="B78" s="1816"/>
      <c r="C78" s="1816"/>
      <c r="D78" s="1816"/>
      <c r="E78" s="1816"/>
      <c r="F78" s="1816"/>
      <c r="G78" s="1816"/>
      <c r="H78" s="1816"/>
      <c r="I78" s="1816"/>
      <c r="J78" s="1816"/>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17" t="s">
        <v>1841</v>
      </c>
      <c r="B89" s="1817"/>
      <c r="C89" s="1817"/>
      <c r="D89" s="1817"/>
      <c r="E89" s="1817"/>
      <c r="F89" s="1817"/>
      <c r="G89" s="1817"/>
      <c r="H89" s="1817"/>
      <c r="I89" s="1817"/>
    </row>
    <row r="90" spans="1:9" ht="12.75">
      <c r="A90" s="1808" t="s">
        <v>2001</v>
      </c>
      <c r="B90" s="1808"/>
      <c r="C90" s="1808"/>
      <c r="D90" s="1808"/>
      <c r="E90" s="1808"/>
    </row>
    <row r="91" spans="1:9" ht="12.75">
      <c r="A91" s="1808" t="s">
        <v>2002</v>
      </c>
      <c r="B91" s="1808"/>
      <c r="C91" s="1808"/>
      <c r="D91" s="1808"/>
      <c r="E91" s="1808"/>
    </row>
    <row r="92" spans="1:9" ht="12.75">
      <c r="A92" s="1808" t="s">
        <v>1842</v>
      </c>
      <c r="B92" s="1808"/>
      <c r="C92" s="1808"/>
      <c r="D92" s="1808"/>
      <c r="E92" s="180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335" workbookViewId="0">
      <selection activeCell="D999" sqref="D999:F101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22" t="s">
        <v>2598</v>
      </c>
      <c r="B2" s="1822"/>
      <c r="C2" s="1822"/>
      <c r="D2" s="1822"/>
      <c r="E2" s="1822"/>
      <c r="F2" s="1822"/>
      <c r="G2" s="1822"/>
      <c r="H2" s="1822"/>
      <c r="I2" s="1822"/>
    </row>
    <row r="3" spans="1:13">
      <c r="A3" s="1823" t="s">
        <v>2170</v>
      </c>
      <c r="B3" s="1823"/>
      <c r="C3" s="1823"/>
      <c r="D3" s="1823"/>
      <c r="E3" s="1823"/>
      <c r="F3" s="1823"/>
      <c r="G3" s="1823"/>
      <c r="H3" s="1823"/>
      <c r="I3" s="1823"/>
    </row>
    <row r="4" spans="1:13">
      <c r="A4" s="1823"/>
      <c r="B4" s="1823"/>
      <c r="C4" s="1819"/>
      <c r="D4" s="1819"/>
      <c r="E4" s="1819"/>
      <c r="F4" s="1819"/>
      <c r="G4" s="1819"/>
    </row>
    <row r="5" spans="1:13">
      <c r="A5" s="1823"/>
      <c r="B5" s="1823"/>
      <c r="C5" s="1819"/>
      <c r="D5" s="1819"/>
      <c r="E5" s="1819"/>
      <c r="F5" s="1819"/>
      <c r="G5" s="1819"/>
    </row>
    <row r="6" spans="1:13" ht="12.75" customHeight="1">
      <c r="A6" s="1845" t="s">
        <v>2169</v>
      </c>
      <c r="B6" s="1845"/>
      <c r="C6" s="1845"/>
      <c r="D6" s="1845"/>
      <c r="E6" s="1845"/>
      <c r="F6" s="1845"/>
      <c r="G6" s="1845"/>
      <c r="I6" s="490"/>
    </row>
    <row r="7" spans="1:13">
      <c r="A7" s="1845"/>
      <c r="B7" s="1845"/>
      <c r="C7" s="1845"/>
      <c r="D7" s="1845"/>
      <c r="E7" s="1845"/>
      <c r="F7" s="1845"/>
      <c r="G7" s="1845"/>
      <c r="I7" s="490"/>
    </row>
    <row r="8" spans="1:13">
      <c r="A8" s="481"/>
      <c r="B8" s="481"/>
      <c r="C8" s="482"/>
      <c r="D8" s="482"/>
      <c r="E8" s="482"/>
      <c r="F8" s="482"/>
    </row>
    <row r="9" spans="1:13">
      <c r="A9" s="1827" t="s">
        <v>1099</v>
      </c>
      <c r="B9" s="1827"/>
      <c r="C9" s="1827"/>
      <c r="D9" s="1827"/>
      <c r="E9" s="1827"/>
      <c r="F9" s="1827"/>
      <c r="G9" s="1827"/>
      <c r="H9" s="1023"/>
      <c r="I9" s="1024"/>
    </row>
    <row r="10" spans="1:13">
      <c r="A10" s="482"/>
      <c r="B10" s="482"/>
      <c r="E10" s="404"/>
    </row>
    <row r="11" spans="1:13" ht="13.7" customHeight="1">
      <c r="C11" s="482"/>
      <c r="D11" s="1844" t="s">
        <v>1098</v>
      </c>
      <c r="E11" s="1844"/>
      <c r="F11" s="1844"/>
    </row>
    <row r="12" spans="1:13">
      <c r="C12" s="482"/>
      <c r="D12" s="1844"/>
      <c r="E12" s="1844"/>
      <c r="F12" s="1844"/>
    </row>
    <row r="13" spans="1:13">
      <c r="A13" s="483"/>
      <c r="B13" s="483"/>
      <c r="C13" s="483"/>
      <c r="D13" s="1825" t="s">
        <v>1088</v>
      </c>
      <c r="E13" s="1825"/>
      <c r="F13" s="1825"/>
      <c r="M13" s="96"/>
    </row>
    <row r="14" spans="1:13">
      <c r="A14" s="483"/>
      <c r="B14" s="483"/>
      <c r="C14" s="483"/>
      <c r="D14" s="476"/>
      <c r="L14" s="312"/>
    </row>
    <row r="15" spans="1:13" ht="14.25">
      <c r="A15" s="484"/>
      <c r="B15" s="485" t="s">
        <v>2789</v>
      </c>
      <c r="C15" s="483"/>
      <c r="D15" s="1824" t="s">
        <v>1892</v>
      </c>
      <c r="E15" s="1824"/>
      <c r="F15" s="1824"/>
      <c r="I15" s="490"/>
    </row>
    <row r="16" spans="1:13">
      <c r="A16" s="483"/>
      <c r="B16" s="483"/>
      <c r="C16" s="483"/>
      <c r="D16" s="1824"/>
      <c r="E16" s="1824"/>
      <c r="F16" s="1824"/>
      <c r="I16" s="490"/>
    </row>
    <row r="17" spans="1:9">
      <c r="A17" s="483"/>
      <c r="B17" s="483"/>
      <c r="C17" s="483"/>
      <c r="D17" s="1824"/>
      <c r="E17" s="1824"/>
      <c r="F17" s="1824"/>
      <c r="I17" s="490"/>
    </row>
    <row r="18" spans="1:9">
      <c r="A18" s="483"/>
      <c r="B18" s="483"/>
      <c r="C18" s="483"/>
      <c r="D18" s="445"/>
      <c r="E18" s="312" t="s">
        <v>1890</v>
      </c>
      <c r="F18" s="445"/>
      <c r="I18" s="490"/>
    </row>
    <row r="19" spans="1:9">
      <c r="A19" s="483"/>
      <c r="B19" s="483"/>
      <c r="C19" s="483"/>
      <c r="I19" s="490"/>
    </row>
    <row r="20" spans="1:9" ht="14.25">
      <c r="A20" s="484"/>
      <c r="B20" s="485" t="s">
        <v>2789</v>
      </c>
      <c r="D20" s="1824" t="s">
        <v>1893</v>
      </c>
      <c r="E20" s="1824"/>
      <c r="F20" s="1824"/>
      <c r="I20" s="490"/>
    </row>
    <row r="21" spans="1:9" ht="14.25">
      <c r="A21" s="484"/>
      <c r="D21" s="1824"/>
      <c r="E21" s="1824"/>
      <c r="F21" s="1824"/>
      <c r="I21" s="490"/>
    </row>
    <row r="22" spans="1:9" ht="14.25">
      <c r="A22" s="484"/>
      <c r="D22" s="392"/>
      <c r="E22" s="96" t="s">
        <v>1889</v>
      </c>
      <c r="F22" s="392"/>
      <c r="I22" s="490"/>
    </row>
    <row r="23" spans="1:9" ht="14.25">
      <c r="A23" s="484"/>
      <c r="B23" s="484"/>
      <c r="D23" s="446"/>
      <c r="I23" s="490"/>
    </row>
    <row r="24" spans="1:9" ht="14.25">
      <c r="A24" s="484"/>
      <c r="B24" s="485" t="s">
        <v>2790</v>
      </c>
      <c r="D24" s="1824" t="s">
        <v>1089</v>
      </c>
      <c r="E24" s="1824"/>
      <c r="F24" s="1824"/>
      <c r="I24" s="490"/>
    </row>
    <row r="25" spans="1:9" ht="14.25">
      <c r="A25" s="484"/>
      <c r="B25" s="484"/>
      <c r="D25" s="1824"/>
      <c r="E25" s="1824"/>
      <c r="F25" s="1824"/>
      <c r="I25" s="490"/>
    </row>
    <row r="26" spans="1:9">
      <c r="I26" s="490"/>
    </row>
    <row r="27" spans="1:9" ht="14.25">
      <c r="A27" s="484"/>
      <c r="B27" s="485" t="s">
        <v>2789</v>
      </c>
      <c r="D27" s="1824" t="s">
        <v>2004</v>
      </c>
      <c r="E27" s="1824"/>
      <c r="F27" s="1824"/>
      <c r="I27" s="490"/>
    </row>
    <row r="28" spans="1:9">
      <c r="D28" s="1824"/>
      <c r="E28" s="1824"/>
      <c r="F28" s="1824"/>
      <c r="I28" s="490"/>
    </row>
    <row r="29" spans="1:9">
      <c r="D29" s="1824"/>
      <c r="E29" s="1824"/>
      <c r="F29" s="1824"/>
      <c r="I29" s="490"/>
    </row>
    <row r="30" spans="1:9">
      <c r="D30" s="1824"/>
      <c r="E30" s="1824"/>
      <c r="F30" s="1824"/>
      <c r="I30" s="490"/>
    </row>
    <row r="31" spans="1:9">
      <c r="D31" s="1824"/>
      <c r="E31" s="1824"/>
      <c r="F31" s="1824"/>
      <c r="I31" s="490"/>
    </row>
    <row r="32" spans="1:9">
      <c r="D32" s="447"/>
      <c r="I32" s="490"/>
    </row>
    <row r="33" spans="1:9">
      <c r="B33" s="485" t="s">
        <v>2790</v>
      </c>
      <c r="D33" s="1824" t="s">
        <v>2005</v>
      </c>
      <c r="E33" s="1824"/>
      <c r="F33" s="1824"/>
      <c r="I33" s="490"/>
    </row>
    <row r="34" spans="1:9">
      <c r="D34" s="1824"/>
      <c r="E34" s="1824"/>
      <c r="F34" s="1824"/>
      <c r="I34" s="490"/>
    </row>
    <row r="35" spans="1:9" ht="14.25">
      <c r="A35" s="484"/>
      <c r="B35" s="484"/>
      <c r="D35" s="447"/>
      <c r="I35" s="490"/>
    </row>
    <row r="36" spans="1:9" ht="14.45" customHeight="1">
      <c r="A36" s="484"/>
      <c r="B36" s="485" t="s">
        <v>2790</v>
      </c>
      <c r="D36" s="1824" t="s">
        <v>1212</v>
      </c>
      <c r="E36" s="1824"/>
      <c r="F36" s="1824"/>
      <c r="I36" s="490"/>
    </row>
    <row r="37" spans="1:9" ht="14.25">
      <c r="A37" s="484"/>
      <c r="B37" s="484"/>
      <c r="D37" s="1824"/>
      <c r="E37" s="1824"/>
      <c r="F37" s="1824"/>
      <c r="I37" s="490"/>
    </row>
    <row r="38" spans="1:9" ht="14.25">
      <c r="A38" s="484"/>
      <c r="B38" s="484"/>
      <c r="D38" s="1824"/>
      <c r="E38" s="1824"/>
      <c r="F38" s="1824"/>
      <c r="I38" s="490"/>
    </row>
    <row r="39" spans="1:9" ht="14.25">
      <c r="A39" s="484"/>
      <c r="B39" s="484"/>
      <c r="D39" s="1824"/>
      <c r="E39" s="1824"/>
      <c r="F39" s="1824"/>
      <c r="I39" s="490"/>
    </row>
    <row r="40" spans="1:9" ht="14.25">
      <c r="A40" s="484"/>
      <c r="B40" s="484"/>
      <c r="I40" s="490"/>
    </row>
    <row r="41" spans="1:9" ht="14.25">
      <c r="A41" s="484"/>
      <c r="B41" s="485" t="s">
        <v>2790</v>
      </c>
      <c r="D41" s="1824" t="s">
        <v>1090</v>
      </c>
      <c r="E41" s="1824"/>
      <c r="F41" s="1824"/>
      <c r="I41" s="490"/>
    </row>
    <row r="42" spans="1:9" ht="14.25">
      <c r="A42" s="484"/>
      <c r="B42" s="484"/>
      <c r="D42" s="1824"/>
      <c r="E42" s="1824"/>
      <c r="F42" s="1824"/>
      <c r="I42" s="490"/>
    </row>
    <row r="43" spans="1:9" ht="14.25">
      <c r="A43" s="484"/>
      <c r="B43" s="484"/>
      <c r="D43" s="1824"/>
      <c r="E43" s="1824"/>
      <c r="F43" s="1824"/>
      <c r="I43" s="490"/>
    </row>
    <row r="44" spans="1:9" ht="14.25">
      <c r="A44" s="484"/>
      <c r="B44" s="484"/>
      <c r="D44" s="1824"/>
      <c r="E44" s="1824"/>
      <c r="F44" s="1824"/>
      <c r="I44" s="490"/>
    </row>
    <row r="45" spans="1:9" ht="14.25">
      <c r="A45" s="484"/>
      <c r="B45" s="484"/>
      <c r="D45" s="1824"/>
      <c r="E45" s="1824"/>
      <c r="F45" s="1824"/>
      <c r="I45" s="490"/>
    </row>
    <row r="46" spans="1:9" ht="14.25">
      <c r="A46" s="484"/>
      <c r="B46" s="484"/>
      <c r="D46" s="445"/>
      <c r="E46" s="445"/>
      <c r="F46" s="445"/>
      <c r="I46" s="490"/>
    </row>
    <row r="47" spans="1:9" ht="14.25">
      <c r="A47" s="484"/>
      <c r="B47" s="485" t="s">
        <v>2790</v>
      </c>
      <c r="D47" s="1824" t="s">
        <v>1091</v>
      </c>
      <c r="E47" s="1824"/>
      <c r="F47" s="1824"/>
      <c r="I47" s="490"/>
    </row>
    <row r="48" spans="1:9" ht="14.25">
      <c r="A48" s="484"/>
      <c r="B48" s="484"/>
      <c r="D48" s="1824"/>
      <c r="E48" s="1824"/>
      <c r="F48" s="1824"/>
      <c r="I48" s="490"/>
    </row>
    <row r="49" spans="1:9" ht="14.25">
      <c r="A49" s="484"/>
      <c r="B49" s="484"/>
      <c r="D49" s="1824"/>
      <c r="E49" s="1824"/>
      <c r="F49" s="1824"/>
      <c r="I49" s="490"/>
    </row>
    <row r="50" spans="1:9" ht="23.25" customHeight="1">
      <c r="A50" s="484"/>
      <c r="B50" s="484"/>
      <c r="D50" s="1824"/>
      <c r="E50" s="1824"/>
      <c r="F50" s="1824"/>
      <c r="I50" s="490"/>
    </row>
    <row r="51" spans="1:9" ht="14.25">
      <c r="A51" s="484"/>
      <c r="B51" s="484"/>
      <c r="D51" s="446"/>
      <c r="I51" s="490"/>
    </row>
    <row r="52" spans="1:9" ht="14.45" customHeight="1">
      <c r="A52" s="484"/>
      <c r="B52" s="485" t="s">
        <v>2790</v>
      </c>
      <c r="D52" s="1824" t="s">
        <v>1092</v>
      </c>
      <c r="E52" s="1824"/>
      <c r="F52" s="1824"/>
      <c r="I52" s="490"/>
    </row>
    <row r="53" spans="1:9" ht="14.25">
      <c r="A53" s="484"/>
      <c r="B53" s="484"/>
      <c r="D53" s="1824"/>
      <c r="E53" s="1824"/>
      <c r="F53" s="1824"/>
      <c r="I53" s="490"/>
    </row>
    <row r="54" spans="1:9" ht="14.25">
      <c r="A54" s="484"/>
      <c r="B54" s="484"/>
      <c r="D54" s="1824"/>
      <c r="E54" s="1824"/>
      <c r="F54" s="1824"/>
      <c r="I54" s="490"/>
    </row>
    <row r="55" spans="1:9" ht="14.25">
      <c r="A55" s="484"/>
      <c r="B55" s="484"/>
      <c r="I55" s="490"/>
    </row>
    <row r="56" spans="1:9" ht="14.25">
      <c r="A56" s="484"/>
      <c r="B56" s="485" t="s">
        <v>2789</v>
      </c>
      <c r="D56" s="1846" t="s">
        <v>1093</v>
      </c>
      <c r="E56" s="1846"/>
      <c r="F56" s="1846"/>
      <c r="I56" s="490"/>
    </row>
    <row r="57" spans="1:9" ht="14.25">
      <c r="A57" s="484"/>
      <c r="B57" s="484"/>
      <c r="D57" s="1846"/>
      <c r="E57" s="1846"/>
      <c r="F57" s="1846"/>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2790</v>
      </c>
      <c r="D61" s="1824" t="s">
        <v>1094</v>
      </c>
      <c r="E61" s="1824"/>
      <c r="F61" s="1824"/>
      <c r="I61" s="490"/>
    </row>
    <row r="62" spans="1:9">
      <c r="D62" s="1824"/>
      <c r="E62" s="1824"/>
      <c r="F62" s="1824"/>
      <c r="I62" s="490"/>
    </row>
    <row r="63" spans="1:9">
      <c r="D63" s="1824"/>
      <c r="E63" s="1824"/>
      <c r="F63" s="1824"/>
      <c r="I63" s="490"/>
    </row>
    <row r="64" spans="1:9">
      <c r="I64" s="490"/>
    </row>
    <row r="65" spans="1:9" ht="14.25">
      <c r="A65" s="484"/>
      <c r="B65" s="485" t="s">
        <v>2790</v>
      </c>
      <c r="D65" s="1824" t="s">
        <v>1095</v>
      </c>
      <c r="E65" s="1824"/>
      <c r="F65" s="1824"/>
      <c r="I65" s="490"/>
    </row>
    <row r="66" spans="1:9">
      <c r="D66" s="1824"/>
      <c r="E66" s="1824"/>
      <c r="F66" s="1824"/>
      <c r="I66" s="490"/>
    </row>
    <row r="67" spans="1:9">
      <c r="I67" s="490"/>
    </row>
    <row r="68" spans="1:9" ht="14.25">
      <c r="A68" s="484"/>
      <c r="B68" s="485" t="s">
        <v>2789</v>
      </c>
      <c r="D68" s="1824" t="s">
        <v>1096</v>
      </c>
      <c r="E68" s="1824"/>
      <c r="F68" s="1824"/>
      <c r="I68" s="490"/>
    </row>
    <row r="69" spans="1:9">
      <c r="D69" s="1824"/>
      <c r="E69" s="1824"/>
      <c r="F69" s="1824"/>
      <c r="I69" s="490"/>
    </row>
    <row r="70" spans="1:9">
      <c r="D70" s="1824"/>
      <c r="E70" s="1824"/>
      <c r="F70" s="1824"/>
      <c r="I70" s="490"/>
    </row>
    <row r="71" spans="1:9">
      <c r="I71" s="490"/>
    </row>
    <row r="72" spans="1:9" ht="14.25">
      <c r="A72" s="484"/>
      <c r="B72" s="485" t="s">
        <v>2790</v>
      </c>
      <c r="D72" s="1824" t="s">
        <v>1097</v>
      </c>
      <c r="E72" s="1824"/>
      <c r="F72" s="1824"/>
      <c r="I72" s="490"/>
    </row>
    <row r="73" spans="1:9">
      <c r="D73" s="1824"/>
      <c r="E73" s="1824"/>
      <c r="F73" s="1824"/>
      <c r="I73" s="490"/>
    </row>
    <row r="74" spans="1:9" ht="14.25">
      <c r="A74" s="484"/>
      <c r="B74" s="484"/>
      <c r="D74" s="446"/>
      <c r="I74" s="490"/>
    </row>
    <row r="75" spans="1:9">
      <c r="A75" s="1827" t="s">
        <v>1042</v>
      </c>
      <c r="B75" s="1827"/>
      <c r="C75" s="1827"/>
      <c r="D75" s="1827"/>
      <c r="E75" s="1827"/>
      <c r="F75" s="1827"/>
      <c r="G75" s="1827"/>
      <c r="H75" s="1023"/>
      <c r="I75" s="1147"/>
    </row>
    <row r="76" spans="1:9">
      <c r="I76" s="490"/>
    </row>
    <row r="77" spans="1:9">
      <c r="C77" s="486"/>
      <c r="D77" s="1826" t="s">
        <v>1100</v>
      </c>
      <c r="E77" s="1826"/>
      <c r="F77" s="1826"/>
      <c r="I77" s="490"/>
    </row>
    <row r="78" spans="1:9">
      <c r="A78" s="446"/>
      <c r="B78" s="446"/>
      <c r="D78" s="1824" t="s">
        <v>1115</v>
      </c>
      <c r="E78" s="1824"/>
      <c r="F78" s="1824"/>
      <c r="I78" s="490"/>
    </row>
    <row r="79" spans="1:9">
      <c r="A79" s="446"/>
      <c r="B79" s="446"/>
      <c r="I79" s="490"/>
    </row>
    <row r="80" spans="1:9" ht="13.7" customHeight="1">
      <c r="A80" s="484"/>
      <c r="B80" s="485" t="s">
        <v>2789</v>
      </c>
      <c r="D80" s="1824" t="s">
        <v>1243</v>
      </c>
      <c r="E80" s="1824"/>
      <c r="F80" s="1824"/>
      <c r="I80" s="490"/>
    </row>
    <row r="81" spans="1:9" ht="14.25">
      <c r="A81" s="484"/>
      <c r="B81" s="484"/>
      <c r="D81" s="1824"/>
      <c r="E81" s="1824"/>
      <c r="F81" s="1824"/>
      <c r="I81" s="490"/>
    </row>
    <row r="82" spans="1:9" ht="14.25">
      <c r="A82" s="484"/>
      <c r="B82" s="484"/>
      <c r="D82" s="1824"/>
      <c r="E82" s="1824"/>
      <c r="F82" s="1824"/>
      <c r="I82" s="490"/>
    </row>
    <row r="83" spans="1:9" ht="14.25">
      <c r="A83" s="484"/>
      <c r="B83" s="484"/>
      <c r="D83" s="1824"/>
      <c r="E83" s="1824"/>
      <c r="F83" s="1824"/>
      <c r="I83" s="490"/>
    </row>
    <row r="84" spans="1:9" ht="14.25">
      <c r="A84" s="484"/>
      <c r="B84" s="484"/>
      <c r="D84" s="1824"/>
      <c r="E84" s="1824"/>
      <c r="F84" s="1824"/>
      <c r="I84" s="490"/>
    </row>
    <row r="85" spans="1:9" ht="14.25">
      <c r="A85" s="484"/>
      <c r="B85" s="484"/>
      <c r="D85" s="1824"/>
      <c r="E85" s="1824"/>
      <c r="F85" s="1824"/>
      <c r="I85" s="490"/>
    </row>
    <row r="86" spans="1:9" ht="14.25">
      <c r="A86" s="484"/>
      <c r="B86" s="484"/>
      <c r="D86" s="1824"/>
      <c r="E86" s="1824"/>
      <c r="F86" s="1824"/>
      <c r="I86" s="490"/>
    </row>
    <row r="87" spans="1:9" ht="14.25">
      <c r="A87" s="484"/>
      <c r="B87" s="484"/>
      <c r="D87" s="1824"/>
      <c r="E87" s="1824"/>
      <c r="F87" s="1824"/>
      <c r="I87" s="490"/>
    </row>
    <row r="88" spans="1:9" ht="14.25">
      <c r="A88" s="484"/>
      <c r="B88" s="484"/>
      <c r="D88" s="385"/>
      <c r="E88" s="385"/>
      <c r="F88" s="385"/>
      <c r="I88" s="490"/>
    </row>
    <row r="89" spans="1:9" ht="15" customHeight="1">
      <c r="A89" s="484"/>
      <c r="B89" s="485" t="s">
        <v>2789</v>
      </c>
      <c r="D89" s="1824" t="s">
        <v>1728</v>
      </c>
      <c r="E89" s="1824"/>
      <c r="F89" s="1824"/>
      <c r="I89" s="490"/>
    </row>
    <row r="90" spans="1:9" ht="14.25">
      <c r="A90" s="484"/>
      <c r="B90" s="484"/>
      <c r="D90" s="1824"/>
      <c r="E90" s="1824"/>
      <c r="F90" s="1824"/>
      <c r="I90" s="490"/>
    </row>
    <row r="91" spans="1:9" ht="14.25">
      <c r="A91" s="484"/>
      <c r="B91" s="484"/>
      <c r="D91" s="445"/>
      <c r="E91" s="445"/>
      <c r="F91" s="445"/>
      <c r="I91" s="490"/>
    </row>
    <row r="92" spans="1:9" ht="14.25">
      <c r="A92" s="484"/>
      <c r="B92" s="485" t="s">
        <v>2789</v>
      </c>
      <c r="D92" s="1824" t="s">
        <v>1731</v>
      </c>
      <c r="E92" s="1824"/>
      <c r="F92" s="1824"/>
      <c r="I92" s="490"/>
    </row>
    <row r="93" spans="1:9" ht="14.25">
      <c r="A93" s="484"/>
      <c r="B93" s="484"/>
      <c r="D93" s="1824"/>
      <c r="E93" s="1824"/>
      <c r="F93" s="1824"/>
      <c r="I93" s="490"/>
    </row>
    <row r="94" spans="1:9" ht="14.25">
      <c r="A94" s="484"/>
      <c r="B94" s="484"/>
      <c r="D94" s="1824"/>
      <c r="E94" s="1824"/>
      <c r="F94" s="1824"/>
      <c r="I94" s="490"/>
    </row>
    <row r="95" spans="1:9" ht="14.25">
      <c r="A95" s="484"/>
      <c r="B95" s="484"/>
      <c r="D95" s="445"/>
      <c r="E95" s="445"/>
      <c r="F95" s="445"/>
      <c r="I95" s="490"/>
    </row>
    <row r="96" spans="1:9" ht="14.25">
      <c r="A96" s="484"/>
      <c r="B96" s="485" t="s">
        <v>2789</v>
      </c>
      <c r="D96" s="1824" t="s">
        <v>1730</v>
      </c>
      <c r="E96" s="1824"/>
      <c r="F96" s="1824"/>
      <c r="I96" s="490"/>
    </row>
    <row r="97" spans="1:9" s="982" customFormat="1" ht="14.25">
      <c r="A97" s="980"/>
      <c r="B97" s="980"/>
      <c r="C97" s="981"/>
      <c r="D97" s="1824"/>
      <c r="E97" s="1824"/>
      <c r="F97" s="1824"/>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2790</v>
      </c>
      <c r="D100" s="1824" t="s">
        <v>1729</v>
      </c>
      <c r="E100" s="1824"/>
      <c r="F100" s="1824"/>
      <c r="I100" s="490"/>
    </row>
    <row r="101" spans="1:9" ht="14.25">
      <c r="A101" s="484"/>
      <c r="B101" s="484"/>
      <c r="D101" s="1824"/>
      <c r="E101" s="1824"/>
      <c r="F101" s="1824"/>
      <c r="I101" s="490"/>
    </row>
    <row r="102" spans="1:9" ht="14.25">
      <c r="A102" s="484"/>
      <c r="B102" s="484"/>
      <c r="D102" s="445"/>
      <c r="E102" s="445"/>
      <c r="F102" s="445"/>
      <c r="I102" s="490"/>
    </row>
    <row r="103" spans="1:9" ht="14.45" customHeight="1">
      <c r="A103" s="484"/>
      <c r="B103" s="485" t="s">
        <v>2790</v>
      </c>
      <c r="D103" s="1824" t="s">
        <v>1192</v>
      </c>
      <c r="E103" s="1824"/>
      <c r="F103" s="1824"/>
      <c r="I103" s="490"/>
    </row>
    <row r="104" spans="1:9" ht="14.25">
      <c r="A104" s="484"/>
      <c r="B104" s="484"/>
      <c r="D104" s="1824"/>
      <c r="E104" s="1824"/>
      <c r="F104" s="1824"/>
      <c r="I104" s="490"/>
    </row>
    <row r="105" spans="1:9" ht="14.25">
      <c r="A105" s="484"/>
      <c r="B105" s="484"/>
      <c r="D105" s="1824"/>
      <c r="E105" s="1824"/>
      <c r="F105" s="1824"/>
      <c r="I105" s="490"/>
    </row>
    <row r="106" spans="1:9" ht="14.25">
      <c r="A106" s="484"/>
      <c r="B106" s="484"/>
      <c r="D106" s="1824"/>
      <c r="E106" s="1824"/>
      <c r="F106" s="1824"/>
      <c r="I106" s="490"/>
    </row>
    <row r="107" spans="1:9" ht="14.25">
      <c r="A107" s="484"/>
      <c r="B107" s="484"/>
      <c r="D107" s="1824"/>
      <c r="E107" s="1824"/>
      <c r="F107" s="1824"/>
      <c r="I107" s="490"/>
    </row>
    <row r="108" spans="1:9" ht="14.25">
      <c r="A108" s="484"/>
      <c r="B108" s="484"/>
      <c r="D108" s="1824"/>
      <c r="E108" s="1824"/>
      <c r="F108" s="1824"/>
      <c r="I108" s="490"/>
    </row>
    <row r="109" spans="1:9" ht="14.25">
      <c r="A109" s="484"/>
      <c r="B109" s="484"/>
      <c r="D109" s="1824"/>
      <c r="E109" s="1824"/>
      <c r="F109" s="1824"/>
      <c r="I109" s="490"/>
    </row>
    <row r="110" spans="1:9" ht="14.25">
      <c r="A110" s="484"/>
      <c r="B110" s="484"/>
      <c r="D110" s="1824"/>
      <c r="E110" s="1824"/>
      <c r="F110" s="1824"/>
      <c r="I110" s="490"/>
    </row>
    <row r="111" spans="1:9" ht="14.25">
      <c r="A111" s="484"/>
      <c r="B111" s="484"/>
      <c r="D111" s="1824"/>
      <c r="E111" s="1824"/>
      <c r="F111" s="1824"/>
      <c r="I111" s="490"/>
    </row>
    <row r="112" spans="1:9" ht="14.25">
      <c r="A112" s="484"/>
      <c r="B112" s="484"/>
      <c r="D112" s="1824"/>
      <c r="E112" s="1824"/>
      <c r="F112" s="1824"/>
      <c r="I112" s="490"/>
    </row>
    <row r="113" spans="1:9" ht="14.25">
      <c r="A113" s="484"/>
      <c r="B113" s="484"/>
      <c r="D113" s="1824"/>
      <c r="E113" s="1824"/>
      <c r="F113" s="1824"/>
      <c r="I113" s="490"/>
    </row>
    <row r="114" spans="1:9" ht="14.25">
      <c r="A114" s="484"/>
      <c r="B114" s="484"/>
      <c r="D114" s="1824"/>
      <c r="E114" s="1824"/>
      <c r="F114" s="1824"/>
      <c r="I114" s="490"/>
    </row>
    <row r="115" spans="1:9" ht="14.25">
      <c r="A115" s="484"/>
      <c r="B115" s="484"/>
      <c r="D115" s="1824"/>
      <c r="E115" s="1824"/>
      <c r="F115" s="1824"/>
      <c r="I115" s="490"/>
    </row>
    <row r="116" spans="1:9" ht="14.25">
      <c r="A116" s="484"/>
      <c r="B116" s="484"/>
      <c r="D116" s="1824"/>
      <c r="E116" s="1824"/>
      <c r="F116" s="1824"/>
      <c r="I116" s="490"/>
    </row>
    <row r="117" spans="1:9" ht="14.25">
      <c r="A117" s="484"/>
      <c r="B117" s="484"/>
      <c r="D117" s="1824"/>
      <c r="E117" s="1824"/>
      <c r="F117" s="1824"/>
      <c r="I117" s="490"/>
    </row>
    <row r="118" spans="1:9" ht="14.25">
      <c r="A118" s="484"/>
      <c r="B118" s="484"/>
      <c r="D118" s="524"/>
      <c r="E118" s="524"/>
      <c r="F118" s="524"/>
      <c r="I118" s="490"/>
    </row>
    <row r="119" spans="1:9" ht="14.25" customHeight="1">
      <c r="A119" s="484"/>
      <c r="B119" s="485" t="s">
        <v>2790</v>
      </c>
      <c r="D119" s="1842" t="s">
        <v>1101</v>
      </c>
      <c r="E119" s="1842"/>
      <c r="F119" s="1842"/>
      <c r="I119" s="490"/>
    </row>
    <row r="120" spans="1:9" ht="14.25">
      <c r="A120" s="484"/>
      <c r="B120" s="484"/>
      <c r="D120" s="1842"/>
      <c r="E120" s="1842"/>
      <c r="F120" s="1842"/>
      <c r="I120" s="490"/>
    </row>
    <row r="121" spans="1:9" ht="14.25">
      <c r="A121" s="484"/>
      <c r="B121" s="484"/>
      <c r="D121" s="1842"/>
      <c r="E121" s="1842"/>
      <c r="F121" s="1842"/>
      <c r="I121" s="490"/>
    </row>
    <row r="122" spans="1:9" ht="14.25">
      <c r="A122" s="484"/>
      <c r="B122" s="484"/>
      <c r="D122" s="1842"/>
      <c r="E122" s="1842"/>
      <c r="F122" s="1842"/>
      <c r="I122" s="490"/>
    </row>
    <row r="123" spans="1:9" ht="14.25">
      <c r="A123" s="484"/>
      <c r="B123" s="484"/>
      <c r="D123" s="1842"/>
      <c r="E123" s="1842"/>
      <c r="F123" s="1842"/>
      <c r="I123" s="490"/>
    </row>
    <row r="124" spans="1:9" ht="14.25">
      <c r="A124" s="484"/>
      <c r="B124" s="484"/>
      <c r="D124" s="1842"/>
      <c r="E124" s="1842"/>
      <c r="F124" s="1842"/>
      <c r="I124" s="490"/>
    </row>
    <row r="125" spans="1:9" ht="14.25">
      <c r="A125" s="484"/>
      <c r="B125" s="484"/>
      <c r="D125" s="1842"/>
      <c r="E125" s="1842"/>
      <c r="F125" s="1842"/>
      <c r="I125" s="490"/>
    </row>
    <row r="126" spans="1:9" ht="14.25">
      <c r="A126" s="484"/>
      <c r="B126" s="484"/>
      <c r="D126" s="1842"/>
      <c r="E126" s="1842"/>
      <c r="F126" s="1842"/>
      <c r="I126" s="490"/>
    </row>
    <row r="127" spans="1:9">
      <c r="C127" s="402"/>
      <c r="D127" s="525"/>
      <c r="E127" s="525"/>
      <c r="F127" s="525"/>
      <c r="I127" s="490"/>
    </row>
    <row r="128" spans="1:9" ht="14.25">
      <c r="A128" s="484"/>
      <c r="B128" s="485" t="s">
        <v>2789</v>
      </c>
      <c r="C128" s="402"/>
      <c r="D128" s="1842" t="s">
        <v>2006</v>
      </c>
      <c r="E128" s="1842"/>
      <c r="F128" s="1842"/>
      <c r="I128" s="490"/>
    </row>
    <row r="129" spans="1:9" ht="14.25">
      <c r="A129" s="484"/>
      <c r="B129" s="484"/>
      <c r="C129" s="402"/>
      <c r="D129" s="1842"/>
      <c r="E129" s="1842"/>
      <c r="F129" s="1842"/>
      <c r="I129" s="490"/>
    </row>
    <row r="130" spans="1:9">
      <c r="I130" s="490"/>
    </row>
    <row r="131" spans="1:9" ht="14.25">
      <c r="A131" s="484"/>
      <c r="B131" s="485" t="s">
        <v>2790</v>
      </c>
      <c r="D131" s="1824" t="s">
        <v>1102</v>
      </c>
      <c r="E131" s="1824"/>
      <c r="F131" s="1824"/>
      <c r="I131" s="490"/>
    </row>
    <row r="132" spans="1:9">
      <c r="D132" s="1824"/>
      <c r="E132" s="1824"/>
      <c r="F132" s="1824"/>
      <c r="I132" s="490"/>
    </row>
    <row r="133" spans="1:9">
      <c r="D133" s="1824"/>
      <c r="E133" s="1824"/>
      <c r="F133" s="1824"/>
      <c r="I133" s="490"/>
    </row>
    <row r="134" spans="1:9">
      <c r="D134" s="1824"/>
      <c r="E134" s="1824"/>
      <c r="F134" s="1824"/>
      <c r="I134" s="490"/>
    </row>
    <row r="135" spans="1:9">
      <c r="D135" s="1824"/>
      <c r="E135" s="1824"/>
      <c r="F135" s="1824"/>
      <c r="I135" s="490"/>
    </row>
    <row r="136" spans="1:9">
      <c r="I136" s="490"/>
    </row>
    <row r="137" spans="1:9" ht="14.25">
      <c r="A137" s="484"/>
      <c r="B137" s="485" t="s">
        <v>2789</v>
      </c>
      <c r="D137" s="1824" t="s">
        <v>1103</v>
      </c>
      <c r="E137" s="1824"/>
      <c r="F137" s="1824"/>
      <c r="I137" s="490"/>
    </row>
    <row r="138" spans="1:9" s="417" customFormat="1" ht="13.7" customHeight="1">
      <c r="A138" s="488"/>
      <c r="B138" s="488"/>
      <c r="C138" s="488"/>
      <c r="D138" s="1824"/>
      <c r="E138" s="1824"/>
      <c r="F138" s="1824"/>
      <c r="I138" s="1149"/>
    </row>
    <row r="139" spans="1:9" ht="13.7" customHeight="1">
      <c r="D139" s="1824"/>
      <c r="E139" s="1824"/>
      <c r="F139" s="1824"/>
      <c r="I139" s="490"/>
    </row>
    <row r="140" spans="1:9" ht="13.7" customHeight="1">
      <c r="D140" s="1824"/>
      <c r="E140" s="1824"/>
      <c r="F140" s="1824"/>
      <c r="I140" s="490"/>
    </row>
    <row r="141" spans="1:9" ht="13.7" customHeight="1">
      <c r="D141" s="1824"/>
      <c r="E141" s="1824"/>
      <c r="F141" s="1824"/>
      <c r="I141" s="490"/>
    </row>
    <row r="142" spans="1:9" ht="13.7" customHeight="1">
      <c r="A142" s="489"/>
      <c r="B142" s="489"/>
      <c r="D142" s="1824"/>
      <c r="E142" s="1824"/>
      <c r="F142" s="1824"/>
      <c r="I142" s="490"/>
    </row>
    <row r="143" spans="1:9" ht="13.7" customHeight="1">
      <c r="D143" s="1824"/>
      <c r="E143" s="1824"/>
      <c r="F143" s="1824"/>
      <c r="I143" s="490"/>
    </row>
    <row r="144" spans="1:9" ht="13.7" customHeight="1">
      <c r="D144" s="1824"/>
      <c r="E144" s="1824"/>
      <c r="F144" s="1824"/>
      <c r="I144" s="490"/>
    </row>
    <row r="145" spans="2:9" ht="13.7" customHeight="1">
      <c r="D145" s="1824"/>
      <c r="E145" s="1824"/>
      <c r="F145" s="1824"/>
      <c r="I145" s="490"/>
    </row>
    <row r="146" spans="2:9" ht="13.7" customHeight="1">
      <c r="D146" s="1824"/>
      <c r="E146" s="1824"/>
      <c r="F146" s="1824"/>
      <c r="I146" s="490"/>
    </row>
    <row r="147" spans="2:9" ht="13.7" customHeight="1">
      <c r="D147" s="1824"/>
      <c r="E147" s="1824"/>
      <c r="F147" s="1824"/>
      <c r="I147" s="490"/>
    </row>
    <row r="148" spans="2:9" ht="13.7" customHeight="1">
      <c r="D148" s="1824"/>
      <c r="E148" s="1824"/>
      <c r="F148" s="1824"/>
      <c r="I148" s="490"/>
    </row>
    <row r="149" spans="2:9" ht="13.7" customHeight="1">
      <c r="D149" s="1824"/>
      <c r="E149" s="1824"/>
      <c r="F149" s="1824"/>
      <c r="I149" s="490"/>
    </row>
    <row r="150" spans="2:9" ht="13.7" customHeight="1">
      <c r="D150" s="476"/>
      <c r="E150" s="446"/>
      <c r="F150" s="446"/>
      <c r="I150" s="490"/>
    </row>
    <row r="151" spans="2:9" ht="13.7" customHeight="1">
      <c r="B151" s="485" t="s">
        <v>2790</v>
      </c>
      <c r="D151" s="1824" t="s">
        <v>1175</v>
      </c>
      <c r="E151" s="1824"/>
      <c r="F151" s="1824"/>
      <c r="I151" s="490"/>
    </row>
    <row r="152" spans="2:9" ht="13.7" customHeight="1">
      <c r="D152" s="1824"/>
      <c r="E152" s="1824"/>
      <c r="F152" s="1824"/>
      <c r="I152" s="490"/>
    </row>
    <row r="153" spans="2:9" ht="13.7" customHeight="1">
      <c r="D153" s="1824"/>
      <c r="E153" s="1824"/>
      <c r="F153" s="1824"/>
      <c r="I153" s="490"/>
    </row>
    <row r="154" spans="2:9" ht="13.7" customHeight="1">
      <c r="D154" s="1824"/>
      <c r="E154" s="1824"/>
      <c r="F154" s="1824"/>
      <c r="I154" s="490"/>
    </row>
    <row r="155" spans="2:9" ht="13.7" customHeight="1">
      <c r="D155" s="1824"/>
      <c r="E155" s="1824"/>
      <c r="F155" s="1824"/>
      <c r="I155" s="490"/>
    </row>
    <row r="156" spans="2:9" ht="13.7" customHeight="1">
      <c r="D156" s="1824"/>
      <c r="E156" s="1824"/>
      <c r="F156" s="1824"/>
      <c r="I156" s="490"/>
    </row>
    <row r="157" spans="2:9" ht="13.7" customHeight="1">
      <c r="D157" s="1824"/>
      <c r="E157" s="1824"/>
      <c r="F157" s="1824"/>
      <c r="I157" s="490"/>
    </row>
    <row r="158" spans="2:9" ht="13.7" customHeight="1">
      <c r="D158" s="1824"/>
      <c r="E158" s="1824"/>
      <c r="F158" s="1824"/>
      <c r="I158" s="490"/>
    </row>
    <row r="159" spans="2:9" ht="13.7" customHeight="1">
      <c r="D159" s="1824"/>
      <c r="E159" s="1824"/>
      <c r="F159" s="1824"/>
      <c r="I159" s="490"/>
    </row>
    <row r="160" spans="2:9" ht="13.7" customHeight="1">
      <c r="D160" s="1824"/>
      <c r="E160" s="1824"/>
      <c r="F160" s="1824"/>
      <c r="I160" s="490"/>
    </row>
    <row r="161" spans="1:9" ht="13.7" customHeight="1">
      <c r="D161" s="1824"/>
      <c r="E161" s="1824"/>
      <c r="F161" s="1824"/>
      <c r="I161" s="490"/>
    </row>
    <row r="162" spans="1:9" ht="13.7" customHeight="1">
      <c r="D162" s="1824"/>
      <c r="E162" s="1824"/>
      <c r="F162" s="1824"/>
      <c r="I162" s="490"/>
    </row>
    <row r="163" spans="1:9" ht="13.7" customHeight="1">
      <c r="D163" s="1824"/>
      <c r="E163" s="1824"/>
      <c r="F163" s="1824"/>
      <c r="I163" s="490"/>
    </row>
    <row r="164" spans="1:9" ht="13.7" customHeight="1">
      <c r="D164" s="1824"/>
      <c r="E164" s="1824"/>
      <c r="F164" s="1824"/>
      <c r="I164" s="490"/>
    </row>
    <row r="165" spans="1:9" ht="13.7" customHeight="1">
      <c r="D165" s="1824"/>
      <c r="E165" s="1824"/>
      <c r="F165" s="1824"/>
      <c r="I165" s="490"/>
    </row>
    <row r="166" spans="1:9" ht="13.7" customHeight="1">
      <c r="D166" s="1824"/>
      <c r="E166" s="1824"/>
      <c r="F166" s="1824"/>
      <c r="I166" s="490"/>
    </row>
    <row r="167" spans="1:9" ht="13.7" customHeight="1">
      <c r="D167" s="1824"/>
      <c r="E167" s="1824"/>
      <c r="F167" s="1824"/>
      <c r="I167" s="490"/>
    </row>
    <row r="168" spans="1:9" ht="13.7" customHeight="1">
      <c r="D168" s="1824"/>
      <c r="E168" s="1824"/>
      <c r="F168" s="1824"/>
      <c r="I168" s="490"/>
    </row>
    <row r="169" spans="1:9" ht="13.7" customHeight="1">
      <c r="D169" s="1843" t="s">
        <v>2028</v>
      </c>
      <c r="E169" s="1843"/>
      <c r="F169" s="1843"/>
      <c r="G169" s="507"/>
      <c r="I169" s="490"/>
    </row>
    <row r="170" spans="1:9" ht="13.7" customHeight="1">
      <c r="D170" s="1838"/>
      <c r="E170" s="1838"/>
      <c r="F170" s="1838"/>
      <c r="G170" s="1838"/>
      <c r="I170" s="490"/>
    </row>
    <row r="171" spans="1:9" ht="14.45" customHeight="1">
      <c r="A171" s="489"/>
      <c r="B171" s="485" t="s">
        <v>2790</v>
      </c>
      <c r="C171" s="476"/>
      <c r="D171" s="1805" t="s">
        <v>2164</v>
      </c>
      <c r="E171" s="1805"/>
      <c r="F171" s="1805"/>
      <c r="G171" s="476"/>
      <c r="I171" s="490"/>
    </row>
    <row r="172" spans="1:9" ht="14.45" customHeight="1">
      <c r="A172" s="489"/>
      <c r="B172" s="489"/>
      <c r="C172" s="476"/>
      <c r="D172" s="1805"/>
      <c r="E172" s="1805"/>
      <c r="F172" s="1805"/>
      <c r="G172" s="476"/>
      <c r="I172" s="490"/>
    </row>
    <row r="173" spans="1:9" ht="14.45" customHeight="1">
      <c r="A173" s="489"/>
      <c r="B173" s="489"/>
      <c r="C173" s="476"/>
      <c r="D173" s="1805"/>
      <c r="E173" s="1805"/>
      <c r="F173" s="1805"/>
      <c r="G173" s="476"/>
      <c r="I173" s="490"/>
    </row>
    <row r="174" spans="1:9" ht="14.45" customHeight="1">
      <c r="A174" s="489"/>
      <c r="B174" s="489"/>
      <c r="C174" s="476"/>
      <c r="D174" s="1805"/>
      <c r="E174" s="1805"/>
      <c r="F174" s="1805"/>
      <c r="G174" s="476"/>
      <c r="I174" s="490"/>
    </row>
    <row r="175" spans="1:9" ht="13.7" customHeight="1">
      <c r="A175" s="489"/>
      <c r="B175" s="489"/>
      <c r="C175" s="476"/>
      <c r="D175" s="1805"/>
      <c r="E175" s="1805"/>
      <c r="F175" s="1805"/>
      <c r="G175" s="476"/>
      <c r="I175" s="490"/>
    </row>
    <row r="176" spans="1:9" ht="13.7" customHeight="1">
      <c r="A176" s="489"/>
      <c r="B176" s="489"/>
      <c r="C176" s="476"/>
      <c r="D176" s="476"/>
      <c r="E176" s="476"/>
      <c r="F176" s="476"/>
      <c r="G176" s="476"/>
      <c r="I176" s="490"/>
    </row>
    <row r="177" spans="1:9" ht="13.7" customHeight="1">
      <c r="A177" s="489"/>
      <c r="B177" s="485" t="s">
        <v>2790</v>
      </c>
      <c r="C177" s="476"/>
      <c r="D177" s="1805" t="s">
        <v>1104</v>
      </c>
      <c r="E177" s="1805"/>
      <c r="F177" s="1805"/>
      <c r="G177" s="476"/>
      <c r="I177" s="490"/>
    </row>
    <row r="178" spans="1:9" ht="13.7" customHeight="1">
      <c r="A178" s="489"/>
      <c r="B178" s="489"/>
      <c r="C178" s="476"/>
      <c r="D178" s="1805"/>
      <c r="E178" s="1805"/>
      <c r="F178" s="1805"/>
      <c r="G178" s="476"/>
      <c r="I178" s="490"/>
    </row>
    <row r="179" spans="1:9" ht="13.7" customHeight="1">
      <c r="A179" s="489"/>
      <c r="B179" s="489"/>
      <c r="C179" s="476"/>
      <c r="D179" s="1805"/>
      <c r="E179" s="1805"/>
      <c r="F179" s="1805"/>
      <c r="G179" s="476"/>
      <c r="I179" s="490"/>
    </row>
    <row r="180" spans="1:9" ht="13.7" customHeight="1">
      <c r="A180" s="489"/>
      <c r="B180" s="489"/>
      <c r="C180" s="476"/>
      <c r="D180" s="1805"/>
      <c r="E180" s="1805"/>
      <c r="F180" s="1805"/>
      <c r="G180" s="476"/>
      <c r="I180" s="490"/>
    </row>
    <row r="181" spans="1:9" ht="13.7" customHeight="1">
      <c r="D181" s="446"/>
      <c r="E181" s="446"/>
      <c r="F181" s="446"/>
      <c r="I181" s="490"/>
    </row>
    <row r="182" spans="1:9" ht="13.7" hidden="1" customHeight="1">
      <c r="B182" s="485" t="s">
        <v>307</v>
      </c>
      <c r="D182" s="1828" t="s">
        <v>2007</v>
      </c>
      <c r="E182" s="1828"/>
      <c r="F182" s="1828"/>
      <c r="I182" s="490"/>
    </row>
    <row r="183" spans="1:9" ht="13.7" hidden="1" customHeight="1">
      <c r="D183" s="1828"/>
      <c r="E183" s="1828"/>
      <c r="F183" s="1828"/>
      <c r="I183" s="490"/>
    </row>
    <row r="184" spans="1:9" ht="13.7" hidden="1" customHeight="1">
      <c r="D184" s="1828"/>
      <c r="E184" s="1828"/>
      <c r="F184" s="1828"/>
      <c r="I184" s="490"/>
    </row>
    <row r="185" spans="1:9" ht="13.7" customHeight="1">
      <c r="A185" s="490"/>
      <c r="B185" s="490"/>
      <c r="E185" s="446"/>
      <c r="F185" s="446"/>
      <c r="I185" s="490"/>
    </row>
    <row r="186" spans="1:9">
      <c r="A186" s="1827" t="s">
        <v>2008</v>
      </c>
      <c r="B186" s="1827"/>
      <c r="C186" s="1827"/>
      <c r="D186" s="1827"/>
      <c r="E186" s="1827"/>
      <c r="F186" s="1827"/>
      <c r="G186" s="1827"/>
      <c r="H186" s="1023"/>
      <c r="I186" s="1147"/>
    </row>
    <row r="187" spans="1:9" ht="12" customHeight="1">
      <c r="D187" s="446"/>
      <c r="E187" s="446"/>
      <c r="F187" s="446"/>
      <c r="I187" s="490"/>
    </row>
    <row r="188" spans="1:9">
      <c r="B188" s="1831" t="s">
        <v>445</v>
      </c>
      <c r="C188" s="1831"/>
      <c r="D188" s="1831"/>
      <c r="E188" s="1831"/>
      <c r="F188" s="1831"/>
      <c r="I188" s="490"/>
    </row>
    <row r="189" spans="1:9">
      <c r="B189" s="392" t="s">
        <v>1846</v>
      </c>
      <c r="C189" s="392"/>
      <c r="D189" s="392"/>
      <c r="E189" s="392"/>
      <c r="F189" s="392"/>
      <c r="I189" s="490"/>
    </row>
    <row r="190" spans="1:9" ht="12" customHeight="1">
      <c r="A190" s="482"/>
      <c r="B190" s="482"/>
      <c r="C190" s="482"/>
      <c r="I190" s="490"/>
    </row>
    <row r="191" spans="1:9">
      <c r="A191" s="1827" t="s">
        <v>1043</v>
      </c>
      <c r="B191" s="1827"/>
      <c r="C191" s="1827"/>
      <c r="D191" s="1827"/>
      <c r="E191" s="1827"/>
      <c r="F191" s="1827"/>
      <c r="G191" s="1827"/>
      <c r="H191" s="1023"/>
      <c r="I191" s="1147"/>
    </row>
    <row r="192" spans="1:9" ht="12" customHeight="1">
      <c r="A192" s="404"/>
      <c r="B192" s="404"/>
      <c r="E192" s="404"/>
      <c r="I192" s="490"/>
    </row>
    <row r="193" spans="1:9" ht="13.7" customHeight="1">
      <c r="A193" s="404"/>
      <c r="B193" s="404"/>
      <c r="D193" s="1826" t="s">
        <v>1732</v>
      </c>
      <c r="E193" s="1826"/>
      <c r="F193" s="1826"/>
      <c r="I193" s="490"/>
    </row>
    <row r="194" spans="1:9">
      <c r="A194" s="404"/>
      <c r="B194" s="404"/>
      <c r="D194" s="1826"/>
      <c r="E194" s="1826"/>
      <c r="F194" s="1826"/>
      <c r="I194" s="490"/>
    </row>
    <row r="195" spans="1:9">
      <c r="A195" s="404"/>
      <c r="B195" s="404"/>
      <c r="D195" s="1831" t="s">
        <v>1193</v>
      </c>
      <c r="E195" s="1831"/>
      <c r="F195" s="1831"/>
      <c r="I195" s="490"/>
    </row>
    <row r="196" spans="1:9">
      <c r="A196" s="404"/>
      <c r="B196" s="404"/>
      <c r="D196" s="392"/>
      <c r="E196" s="392"/>
      <c r="F196" s="392"/>
      <c r="I196" s="490"/>
    </row>
    <row r="197" spans="1:9">
      <c r="A197" s="404"/>
      <c r="B197" s="485" t="s">
        <v>2789</v>
      </c>
      <c r="D197" s="1839" t="s">
        <v>1733</v>
      </c>
      <c r="E197" s="1839"/>
      <c r="F197" s="1839"/>
      <c r="I197" s="490"/>
    </row>
    <row r="198" spans="1:9">
      <c r="A198" s="404"/>
      <c r="B198" s="404"/>
      <c r="D198" s="1840" t="s">
        <v>1872</v>
      </c>
      <c r="E198" s="1840"/>
      <c r="F198" s="1840"/>
      <c r="I198" s="490"/>
    </row>
    <row r="199" spans="1:9">
      <c r="A199" s="404"/>
      <c r="B199" s="404"/>
      <c r="D199" s="96" t="s">
        <v>1734</v>
      </c>
      <c r="E199" s="1841" t="s">
        <v>1895</v>
      </c>
      <c r="F199" s="1841"/>
      <c r="I199" s="490"/>
    </row>
    <row r="200" spans="1:9">
      <c r="A200" s="404"/>
      <c r="B200" s="404"/>
      <c r="D200" s="3"/>
      <c r="E200" s="3"/>
      <c r="F200" s="3"/>
      <c r="I200" s="490"/>
    </row>
    <row r="201" spans="1:9">
      <c r="A201" s="404"/>
      <c r="B201" s="485" t="s">
        <v>2790</v>
      </c>
      <c r="D201" s="1840" t="s">
        <v>1735</v>
      </c>
      <c r="E201" s="1840"/>
      <c r="F201" s="1840"/>
      <c r="I201" s="490"/>
    </row>
    <row r="202" spans="1:9">
      <c r="A202" s="404"/>
      <c r="B202" s="404"/>
      <c r="D202" s="1839" t="s">
        <v>1872</v>
      </c>
      <c r="E202" s="1839"/>
      <c r="F202" s="1839"/>
      <c r="I202" s="490"/>
    </row>
    <row r="203" spans="1:9">
      <c r="A203" s="404"/>
      <c r="B203" s="404"/>
      <c r="D203" s="57" t="s">
        <v>1736</v>
      </c>
      <c r="E203" s="1841" t="s">
        <v>1896</v>
      </c>
      <c r="F203" s="1841"/>
      <c r="I203" s="490"/>
    </row>
    <row r="204" spans="1:9">
      <c r="A204" s="404"/>
      <c r="B204" s="404"/>
      <c r="D204" s="3"/>
      <c r="E204" s="3"/>
      <c r="F204" s="3"/>
      <c r="I204" s="490"/>
    </row>
    <row r="205" spans="1:9">
      <c r="A205" s="404"/>
      <c r="B205" s="485" t="s">
        <v>2790</v>
      </c>
      <c r="D205" s="1840" t="s">
        <v>1737</v>
      </c>
      <c r="E205" s="1840"/>
      <c r="F205" s="1840"/>
      <c r="I205" s="490"/>
    </row>
    <row r="206" spans="1:9">
      <c r="A206" s="404"/>
      <c r="B206" s="404"/>
      <c r="D206" s="1839" t="s">
        <v>1872</v>
      </c>
      <c r="E206" s="1839"/>
      <c r="F206" s="1839"/>
      <c r="I206" s="490"/>
    </row>
    <row r="207" spans="1:9">
      <c r="A207" s="404"/>
      <c r="B207" s="404"/>
      <c r="D207" s="57" t="s">
        <v>1734</v>
      </c>
      <c r="E207" s="1841" t="s">
        <v>1897</v>
      </c>
      <c r="F207" s="1841"/>
      <c r="I207" s="490"/>
    </row>
    <row r="208" spans="1:9">
      <c r="A208" s="404"/>
      <c r="B208" s="404"/>
      <c r="D208" s="392"/>
      <c r="E208" s="392"/>
      <c r="F208" s="392"/>
      <c r="I208" s="490"/>
    </row>
    <row r="209" spans="1:9" ht="14.25" customHeight="1">
      <c r="A209" s="484"/>
      <c r="B209" s="485" t="s">
        <v>2790</v>
      </c>
      <c r="D209" s="386" t="s">
        <v>1865</v>
      </c>
      <c r="E209" s="385"/>
      <c r="F209" s="385"/>
      <c r="I209" s="490"/>
    </row>
    <row r="210" spans="1:9" ht="14.25">
      <c r="A210" s="484"/>
      <c r="B210" s="484"/>
      <c r="D210" s="1839" t="s">
        <v>1872</v>
      </c>
      <c r="E210" s="1839"/>
      <c r="F210" s="1839"/>
      <c r="I210" s="490"/>
    </row>
    <row r="211" spans="1:9">
      <c r="D211" s="385"/>
      <c r="E211" s="1841" t="s">
        <v>1898</v>
      </c>
      <c r="F211" s="1841"/>
      <c r="I211" s="490"/>
    </row>
    <row r="212" spans="1:9">
      <c r="D212" s="447"/>
      <c r="I212" s="490"/>
    </row>
    <row r="213" spans="1:9">
      <c r="B213" s="485" t="s">
        <v>2790</v>
      </c>
      <c r="D213" s="1840" t="s">
        <v>1738</v>
      </c>
      <c r="E213" s="1840"/>
      <c r="F213" s="1840"/>
      <c r="I213" s="490"/>
    </row>
    <row r="214" spans="1:9">
      <c r="D214" s="1839" t="s">
        <v>1872</v>
      </c>
      <c r="E214" s="1839"/>
      <c r="F214" s="1839"/>
      <c r="I214" s="490"/>
    </row>
    <row r="215" spans="1:9">
      <c r="D215" s="57" t="s">
        <v>1734</v>
      </c>
      <c r="E215" s="1841" t="s">
        <v>1899</v>
      </c>
      <c r="F215" s="1841"/>
      <c r="I215" s="490"/>
    </row>
    <row r="216" spans="1:9">
      <c r="D216" s="451"/>
      <c r="E216" s="451"/>
      <c r="F216" s="451"/>
      <c r="I216" s="490"/>
    </row>
    <row r="217" spans="1:9" ht="14.25">
      <c r="A217" s="484"/>
      <c r="B217" s="485" t="s">
        <v>2790</v>
      </c>
      <c r="D217" s="1824" t="s">
        <v>1214</v>
      </c>
      <c r="E217" s="1824"/>
      <c r="F217" s="1824"/>
      <c r="I217" s="490"/>
    </row>
    <row r="218" spans="1:9" ht="14.45" customHeight="1">
      <c r="A218" s="484"/>
      <c r="B218" s="402"/>
      <c r="D218" s="1824"/>
      <c r="E218" s="1824"/>
      <c r="F218" s="1824"/>
      <c r="I218" s="490"/>
    </row>
    <row r="219" spans="1:9" ht="14.25">
      <c r="A219" s="484"/>
      <c r="D219" s="1824"/>
      <c r="E219" s="1824"/>
      <c r="F219" s="1824"/>
      <c r="I219" s="490"/>
    </row>
    <row r="220" spans="1:9" ht="14.25">
      <c r="A220" s="484"/>
      <c r="D220" s="1824"/>
      <c r="E220" s="1824"/>
      <c r="F220" s="1824"/>
      <c r="I220" s="490"/>
    </row>
    <row r="221" spans="1:9">
      <c r="D221" s="451"/>
      <c r="E221" s="451"/>
      <c r="F221" s="451"/>
      <c r="I221" s="490"/>
    </row>
    <row r="222" spans="1:9">
      <c r="A222" s="1827" t="s">
        <v>1044</v>
      </c>
      <c r="B222" s="1827"/>
      <c r="C222" s="1827"/>
      <c r="D222" s="1827"/>
      <c r="E222" s="1827"/>
      <c r="F222" s="1827"/>
      <c r="G222" s="1827"/>
      <c r="H222" s="1023"/>
      <c r="I222" s="1147"/>
    </row>
    <row r="223" spans="1:9" ht="12" customHeight="1">
      <c r="D223" s="446"/>
      <c r="E223" s="446"/>
      <c r="F223" s="446"/>
      <c r="I223" s="490"/>
    </row>
    <row r="224" spans="1:9">
      <c r="C224" s="486"/>
      <c r="D224" s="1833" t="s">
        <v>208</v>
      </c>
      <c r="E224" s="1833"/>
      <c r="F224" s="1833"/>
      <c r="I224" s="490"/>
    </row>
    <row r="225" spans="1:9">
      <c r="A225" s="482"/>
      <c r="B225" s="482"/>
      <c r="C225" s="482"/>
      <c r="D225" s="1825" t="s">
        <v>1118</v>
      </c>
      <c r="E225" s="1825"/>
      <c r="F225" s="1825"/>
      <c r="I225" s="490"/>
    </row>
    <row r="226" spans="1:9" ht="12" customHeight="1">
      <c r="A226" s="490"/>
      <c r="B226" s="490"/>
      <c r="C226" s="490"/>
      <c r="I226" s="490"/>
    </row>
    <row r="227" spans="1:9" ht="13.7" customHeight="1">
      <c r="A227" s="490"/>
      <c r="C227" s="490"/>
      <c r="D227" s="1833" t="s">
        <v>545</v>
      </c>
      <c r="E227" s="1833"/>
      <c r="F227" s="1833"/>
      <c r="I227" s="490"/>
    </row>
    <row r="228" spans="1:9" ht="14.25">
      <c r="A228" s="484"/>
      <c r="B228" s="485" t="s">
        <v>2789</v>
      </c>
      <c r="D228" s="1824" t="s">
        <v>1739</v>
      </c>
      <c r="E228" s="1824"/>
      <c r="F228" s="1824"/>
      <c r="I228" s="490"/>
    </row>
    <row r="229" spans="1:9" ht="14.25" customHeight="1">
      <c r="A229" s="484"/>
      <c r="B229" s="484"/>
      <c r="D229" s="1824"/>
      <c r="E229" s="1824"/>
      <c r="F229" s="1824"/>
      <c r="I229" s="490"/>
    </row>
    <row r="230" spans="1:9" ht="14.25" customHeight="1">
      <c r="A230" s="484"/>
      <c r="B230" s="484"/>
      <c r="D230" s="1824"/>
      <c r="E230" s="1824"/>
      <c r="F230" s="1824"/>
      <c r="I230" s="490"/>
    </row>
    <row r="231" spans="1:9" ht="14.25">
      <c r="A231" s="484"/>
      <c r="B231" s="484"/>
      <c r="D231" s="1824"/>
      <c r="E231" s="1824"/>
      <c r="F231" s="1824"/>
      <c r="I231" s="490"/>
    </row>
    <row r="232" spans="1:9" ht="14.25">
      <c r="A232" s="484"/>
      <c r="B232" s="484"/>
      <c r="D232" s="445"/>
      <c r="E232" s="445"/>
      <c r="F232" s="445"/>
      <c r="I232" s="490"/>
    </row>
    <row r="233" spans="1:9" ht="14.25">
      <c r="A233" s="484"/>
      <c r="B233" s="485" t="s">
        <v>2789</v>
      </c>
      <c r="D233" s="1824" t="s">
        <v>1740</v>
      </c>
      <c r="E233" s="1824"/>
      <c r="F233" s="1824"/>
      <c r="I233" s="490"/>
    </row>
    <row r="234" spans="1:9" ht="14.25">
      <c r="A234" s="484"/>
      <c r="B234" s="484"/>
      <c r="D234" s="1824"/>
      <c r="E234" s="1824"/>
      <c r="F234" s="1824"/>
      <c r="I234" s="490"/>
    </row>
    <row r="235" spans="1:9" ht="14.25">
      <c r="A235" s="484"/>
      <c r="B235" s="484"/>
      <c r="D235" s="1824"/>
      <c r="E235" s="1824"/>
      <c r="F235" s="1824"/>
      <c r="I235" s="490"/>
    </row>
    <row r="236" spans="1:9" ht="14.25">
      <c r="A236" s="484"/>
      <c r="B236" s="484"/>
      <c r="D236" s="1824"/>
      <c r="E236" s="1824"/>
      <c r="F236" s="1824"/>
      <c r="I236" s="490"/>
    </row>
    <row r="237" spans="1:9" ht="14.25" customHeight="1">
      <c r="A237" s="484"/>
      <c r="B237" s="484"/>
      <c r="D237" s="1824"/>
      <c r="E237" s="1824"/>
      <c r="F237" s="1824"/>
      <c r="I237" s="490"/>
    </row>
    <row r="238" spans="1:9" ht="14.25" customHeight="1">
      <c r="A238" s="484"/>
      <c r="B238" s="484"/>
      <c r="D238" s="445"/>
      <c r="E238" s="445"/>
      <c r="F238" s="445"/>
      <c r="I238" s="490"/>
    </row>
    <row r="239" spans="1:9" ht="14.25">
      <c r="A239" s="484"/>
      <c r="B239" s="484"/>
      <c r="D239" s="1824" t="s">
        <v>1116</v>
      </c>
      <c r="E239" s="1824"/>
      <c r="F239" s="1824"/>
      <c r="I239" s="490"/>
    </row>
    <row r="240" spans="1:9" ht="14.25">
      <c r="A240" s="484"/>
      <c r="B240" s="484"/>
      <c r="D240" s="1824"/>
      <c r="E240" s="1824"/>
      <c r="F240" s="1824"/>
      <c r="I240" s="490"/>
    </row>
    <row r="241" spans="1:9" ht="14.25">
      <c r="A241" s="484"/>
      <c r="B241" s="484"/>
      <c r="D241" s="1824"/>
      <c r="E241" s="1824"/>
      <c r="F241" s="1824"/>
      <c r="I241" s="490"/>
    </row>
    <row r="242" spans="1:9" ht="14.25">
      <c r="A242" s="484"/>
      <c r="B242" s="484"/>
      <c r="D242" s="1824"/>
      <c r="E242" s="1824"/>
      <c r="F242" s="1824"/>
      <c r="I242" s="490"/>
    </row>
    <row r="243" spans="1:9" ht="14.25">
      <c r="A243" s="484"/>
      <c r="B243" s="484"/>
      <c r="D243" s="1824"/>
      <c r="E243" s="1824"/>
      <c r="F243" s="1824"/>
      <c r="I243" s="490"/>
    </row>
    <row r="244" spans="1:9" ht="14.25">
      <c r="A244" s="484"/>
      <c r="B244" s="484"/>
      <c r="D244" s="446"/>
      <c r="E244" s="446"/>
      <c r="F244" s="446"/>
      <c r="I244" s="490"/>
    </row>
    <row r="245" spans="1:9" ht="14.25">
      <c r="A245" s="484"/>
      <c r="B245" s="485" t="s">
        <v>2790</v>
      </c>
      <c r="D245" s="1824" t="s">
        <v>2009</v>
      </c>
      <c r="E245" s="1824"/>
      <c r="F245" s="1824"/>
      <c r="I245" s="490"/>
    </row>
    <row r="246" spans="1:9" ht="14.25">
      <c r="A246" s="484"/>
      <c r="B246" s="484"/>
      <c r="D246" s="1824"/>
      <c r="E246" s="1824"/>
      <c r="F246" s="1824"/>
      <c r="I246" s="490"/>
    </row>
    <row r="247" spans="1:9" ht="14.25">
      <c r="A247" s="484"/>
      <c r="B247" s="484"/>
      <c r="D247" s="1824"/>
      <c r="E247" s="1824"/>
      <c r="F247" s="1824"/>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2790</v>
      </c>
      <c r="D250" s="1824" t="s">
        <v>2010</v>
      </c>
      <c r="E250" s="1824"/>
      <c r="F250" s="1824"/>
      <c r="I250" s="490"/>
    </row>
    <row r="251" spans="1:9" ht="14.25">
      <c r="A251" s="484"/>
      <c r="B251" s="484"/>
      <c r="D251" s="1824"/>
      <c r="E251" s="1824"/>
      <c r="F251" s="1824"/>
      <c r="I251" s="490"/>
    </row>
    <row r="252" spans="1:9" ht="14.25">
      <c r="A252" s="484"/>
      <c r="B252" s="484"/>
      <c r="D252" s="1824"/>
      <c r="E252" s="1824"/>
      <c r="F252" s="1824"/>
      <c r="I252" s="490"/>
    </row>
    <row r="253" spans="1:9" ht="14.25">
      <c r="A253" s="484"/>
      <c r="B253" s="484"/>
      <c r="D253" s="1824"/>
      <c r="E253" s="1824"/>
      <c r="F253" s="1824"/>
      <c r="I253" s="490"/>
    </row>
    <row r="254" spans="1:9" ht="14.25">
      <c r="A254" s="484"/>
      <c r="B254" s="484"/>
      <c r="D254" s="1824"/>
      <c r="E254" s="1824"/>
      <c r="F254" s="1824"/>
      <c r="I254" s="490"/>
    </row>
    <row r="255" spans="1:9" ht="14.25">
      <c r="A255" s="484"/>
      <c r="B255" s="484"/>
      <c r="D255" s="445"/>
      <c r="E255" s="445"/>
      <c r="F255" s="445"/>
      <c r="I255" s="490"/>
    </row>
    <row r="256" spans="1:9" ht="14.25">
      <c r="A256" s="484"/>
      <c r="B256" s="485" t="s">
        <v>2789</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2789</v>
      </c>
      <c r="D259" s="1824" t="s">
        <v>1117</v>
      </c>
      <c r="E259" s="1824"/>
      <c r="F259" s="1824"/>
      <c r="I259" s="490"/>
    </row>
    <row r="260" spans="1:9" ht="14.25">
      <c r="A260" s="484"/>
      <c r="B260" s="484"/>
      <c r="D260" s="1824"/>
      <c r="E260" s="1824"/>
      <c r="F260" s="1824"/>
      <c r="I260" s="490"/>
    </row>
    <row r="261" spans="1:9">
      <c r="D261" s="491"/>
      <c r="I261" s="490"/>
    </row>
    <row r="262" spans="1:9">
      <c r="A262" s="1827" t="s">
        <v>1045</v>
      </c>
      <c r="B262" s="1827"/>
      <c r="C262" s="1827"/>
      <c r="D262" s="1827"/>
      <c r="E262" s="1827"/>
      <c r="F262" s="1827"/>
      <c r="G262" s="1827"/>
      <c r="H262" s="1023"/>
      <c r="I262" s="1147"/>
    </row>
    <row r="263" spans="1:9">
      <c r="D263" s="491"/>
      <c r="I263" s="490"/>
    </row>
    <row r="264" spans="1:9">
      <c r="C264" s="486"/>
      <c r="D264" s="1833" t="s">
        <v>1119</v>
      </c>
      <c r="E264" s="1833"/>
      <c r="F264" s="1833"/>
      <c r="I264" s="490"/>
    </row>
    <row r="265" spans="1:9">
      <c r="A265" s="482"/>
      <c r="B265" s="482"/>
      <c r="C265" s="482"/>
      <c r="D265" s="446"/>
      <c r="E265" s="446"/>
      <c r="F265" s="446"/>
      <c r="I265" s="490"/>
    </row>
    <row r="266" spans="1:9">
      <c r="A266" s="483"/>
      <c r="B266" s="483"/>
      <c r="C266" s="483"/>
      <c r="D266" s="1833" t="s">
        <v>269</v>
      </c>
      <c r="E266" s="1833"/>
      <c r="F266" s="1833"/>
      <c r="I266" s="490"/>
    </row>
    <row r="267" spans="1:9" ht="14.45" customHeight="1">
      <c r="A267" s="484"/>
      <c r="B267" s="485" t="s">
        <v>2789</v>
      </c>
      <c r="D267" s="1824" t="s">
        <v>1194</v>
      </c>
      <c r="E267" s="1824"/>
      <c r="F267" s="1824"/>
      <c r="I267" s="490"/>
    </row>
    <row r="268" spans="1:9">
      <c r="D268" s="1824"/>
      <c r="E268" s="1824"/>
      <c r="F268" s="1824"/>
      <c r="I268" s="490"/>
    </row>
    <row r="269" spans="1:9">
      <c r="E269" s="1031" t="s">
        <v>1868</v>
      </c>
      <c r="I269" s="490"/>
    </row>
    <row r="270" spans="1:9">
      <c r="D270" s="446"/>
      <c r="E270" s="446"/>
      <c r="F270" s="446"/>
      <c r="I270" s="490"/>
    </row>
    <row r="271" spans="1:9" ht="14.45" customHeight="1">
      <c r="A271" s="484"/>
      <c r="B271" s="485" t="s">
        <v>2790</v>
      </c>
      <c r="D271" s="1824" t="s">
        <v>2012</v>
      </c>
      <c r="E271" s="1824"/>
      <c r="F271" s="1824"/>
      <c r="I271" s="490"/>
    </row>
    <row r="272" spans="1:9">
      <c r="D272" s="1824"/>
      <c r="E272" s="1824"/>
      <c r="F272" s="1824"/>
      <c r="I272" s="490"/>
    </row>
    <row r="273" spans="1:9">
      <c r="D273" s="1824"/>
      <c r="E273" s="1824"/>
      <c r="F273" s="1824"/>
      <c r="I273" s="490"/>
    </row>
    <row r="274" spans="1:9">
      <c r="D274" s="1824"/>
      <c r="E274" s="1824"/>
      <c r="F274" s="1824"/>
      <c r="I274" s="490"/>
    </row>
    <row r="275" spans="1:9">
      <c r="D275" s="1824"/>
      <c r="E275" s="1824"/>
      <c r="F275" s="1824"/>
      <c r="I275" s="490"/>
    </row>
    <row r="276" spans="1:9">
      <c r="D276" s="1824"/>
      <c r="E276" s="1824"/>
      <c r="F276" s="1824"/>
      <c r="I276" s="490"/>
    </row>
    <row r="277" spans="1:9">
      <c r="D277" s="446"/>
      <c r="E277" s="446"/>
      <c r="F277" s="446"/>
      <c r="I277" s="490"/>
    </row>
    <row r="278" spans="1:9" ht="14.25">
      <c r="A278" s="484"/>
      <c r="B278" s="485" t="s">
        <v>2790</v>
      </c>
      <c r="D278" s="1824" t="s">
        <v>1120</v>
      </c>
      <c r="E278" s="1824"/>
      <c r="F278" s="1824"/>
      <c r="I278" s="490"/>
    </row>
    <row r="279" spans="1:9">
      <c r="D279" s="1824"/>
      <c r="E279" s="1824"/>
      <c r="F279" s="1824"/>
      <c r="I279" s="490"/>
    </row>
    <row r="280" spans="1:9">
      <c r="D280" s="1824"/>
      <c r="E280" s="1824"/>
      <c r="F280" s="1824"/>
      <c r="I280" s="490"/>
    </row>
    <row r="281" spans="1:9">
      <c r="D281" s="492"/>
      <c r="E281" s="446"/>
      <c r="F281" s="446"/>
      <c r="I281" s="490"/>
    </row>
    <row r="282" spans="1:9">
      <c r="A282" s="1827" t="s">
        <v>1046</v>
      </c>
      <c r="B282" s="1827"/>
      <c r="C282" s="1827"/>
      <c r="D282" s="1827"/>
      <c r="E282" s="1827"/>
      <c r="F282" s="1827"/>
      <c r="G282" s="1827"/>
      <c r="H282" s="1023"/>
      <c r="I282" s="1147"/>
    </row>
    <row r="283" spans="1:9">
      <c r="D283" s="492"/>
      <c r="E283" s="446"/>
      <c r="F283" s="446"/>
      <c r="I283" s="490"/>
    </row>
    <row r="284" spans="1:9">
      <c r="C284" s="482"/>
      <c r="D284" s="1826" t="s">
        <v>1121</v>
      </c>
      <c r="E284" s="1826"/>
      <c r="F284" s="1826"/>
      <c r="I284" s="490"/>
    </row>
    <row r="285" spans="1:9">
      <c r="C285" s="482"/>
      <c r="D285" s="1826"/>
      <c r="E285" s="1826"/>
      <c r="F285" s="1826"/>
      <c r="I285" s="490"/>
    </row>
    <row r="286" spans="1:9">
      <c r="A286" s="483"/>
      <c r="B286" s="483"/>
      <c r="C286" s="483"/>
      <c r="D286" s="404"/>
      <c r="I286" s="490"/>
    </row>
    <row r="287" spans="1:9">
      <c r="C287" s="483"/>
      <c r="D287" s="1833" t="s">
        <v>209</v>
      </c>
      <c r="E287" s="1833"/>
      <c r="F287" s="1833"/>
      <c r="I287" s="490"/>
    </row>
    <row r="288" spans="1:9" ht="15.75" customHeight="1">
      <c r="A288" s="484"/>
      <c r="B288" s="484"/>
      <c r="D288" s="1836" t="s">
        <v>1122</v>
      </c>
      <c r="E288" s="1836"/>
      <c r="F288" s="1836"/>
      <c r="I288" s="490"/>
    </row>
    <row r="289" spans="1:9">
      <c r="E289" s="446"/>
      <c r="F289" s="446"/>
      <c r="I289" s="490"/>
    </row>
    <row r="290" spans="1:9" ht="14.25">
      <c r="A290" s="484"/>
      <c r="B290" s="485" t="s">
        <v>2790</v>
      </c>
      <c r="D290" s="1824" t="s">
        <v>1123</v>
      </c>
      <c r="E290" s="1824"/>
      <c r="F290" s="1824"/>
      <c r="I290" s="490"/>
    </row>
    <row r="291" spans="1:9" ht="14.25">
      <c r="A291" s="484"/>
      <c r="B291" s="484"/>
      <c r="D291" s="1824"/>
      <c r="E291" s="1824"/>
      <c r="F291" s="1824"/>
      <c r="I291" s="490"/>
    </row>
    <row r="292" spans="1:9">
      <c r="D292" s="446"/>
      <c r="E292" s="446"/>
      <c r="F292" s="446"/>
      <c r="I292" s="490"/>
    </row>
    <row r="293" spans="1:9" ht="14.25">
      <c r="A293" s="484"/>
      <c r="B293" s="485" t="s">
        <v>2790</v>
      </c>
      <c r="D293" s="1824" t="s">
        <v>1124</v>
      </c>
      <c r="E293" s="1824"/>
      <c r="F293" s="1824"/>
      <c r="I293" s="490"/>
    </row>
    <row r="294" spans="1:9" ht="14.25">
      <c r="A294" s="484"/>
      <c r="B294" s="484"/>
      <c r="D294" s="1824"/>
      <c r="E294" s="1824"/>
      <c r="F294" s="1824"/>
      <c r="I294" s="490"/>
    </row>
    <row r="295" spans="1:9" ht="14.25">
      <c r="A295" s="484"/>
      <c r="B295" s="484"/>
      <c r="D295" s="1824"/>
      <c r="E295" s="1824"/>
      <c r="F295" s="1824"/>
      <c r="I295" s="490"/>
    </row>
    <row r="296" spans="1:9">
      <c r="D296" s="446"/>
      <c r="E296" s="446"/>
      <c r="F296" s="446"/>
      <c r="I296" s="490"/>
    </row>
    <row r="297" spans="1:9" ht="14.25">
      <c r="A297" s="484"/>
      <c r="B297" s="485" t="s">
        <v>2790</v>
      </c>
      <c r="D297" s="1824" t="s">
        <v>1125</v>
      </c>
      <c r="E297" s="1824"/>
      <c r="F297" s="1824"/>
      <c r="I297" s="490"/>
    </row>
    <row r="298" spans="1:9" ht="14.25">
      <c r="A298" s="484"/>
      <c r="B298" s="484"/>
      <c r="D298" s="1824"/>
      <c r="E298" s="1824"/>
      <c r="F298" s="1824"/>
      <c r="I298" s="490"/>
    </row>
    <row r="299" spans="1:9">
      <c r="A299" s="490"/>
      <c r="B299" s="490"/>
      <c r="E299" s="446"/>
      <c r="F299" s="446"/>
      <c r="I299" s="490"/>
    </row>
    <row r="300" spans="1:9">
      <c r="A300" s="1827" t="s">
        <v>1047</v>
      </c>
      <c r="B300" s="1827"/>
      <c r="C300" s="1827"/>
      <c r="D300" s="1827"/>
      <c r="E300" s="1827"/>
      <c r="F300" s="1827"/>
      <c r="G300" s="1827"/>
      <c r="H300" s="1023"/>
      <c r="I300" s="1147"/>
    </row>
    <row r="301" spans="1:9">
      <c r="A301" s="490"/>
      <c r="B301" s="490"/>
      <c r="D301" s="446"/>
      <c r="E301" s="446"/>
      <c r="F301" s="446"/>
      <c r="I301" s="490"/>
    </row>
    <row r="302" spans="1:9">
      <c r="C302" s="490"/>
      <c r="D302" s="1833" t="s">
        <v>681</v>
      </c>
      <c r="E302" s="1833"/>
      <c r="F302" s="1833"/>
      <c r="I302" s="490"/>
    </row>
    <row r="303" spans="1:9">
      <c r="C303" s="490"/>
      <c r="D303" s="1825" t="s">
        <v>1126</v>
      </c>
      <c r="E303" s="1825"/>
      <c r="F303" s="1825"/>
      <c r="I303" s="490"/>
    </row>
    <row r="304" spans="1:9">
      <c r="C304" s="490"/>
      <c r="D304" s="493"/>
      <c r="I304" s="490"/>
    </row>
    <row r="305" spans="1:9">
      <c r="B305" s="485" t="s">
        <v>2790</v>
      </c>
      <c r="D305" s="1825" t="s">
        <v>1127</v>
      </c>
      <c r="E305" s="1825"/>
      <c r="F305" s="1825"/>
      <c r="I305" s="490"/>
    </row>
    <row r="306" spans="1:9" ht="14.25">
      <c r="A306" s="484"/>
      <c r="B306" s="484"/>
      <c r="D306" s="494"/>
      <c r="E306" s="495"/>
      <c r="F306" s="495"/>
      <c r="I306" s="490"/>
    </row>
    <row r="307" spans="1:9" ht="13.7" customHeight="1">
      <c r="B307" s="485" t="s">
        <v>2790</v>
      </c>
      <c r="D307" s="1848" t="s">
        <v>1217</v>
      </c>
      <c r="E307" s="1848"/>
      <c r="F307" s="1848"/>
      <c r="I307" s="490"/>
    </row>
    <row r="308" spans="1:9" ht="14.25">
      <c r="A308" s="484"/>
      <c r="B308" s="484"/>
      <c r="D308" s="1848"/>
      <c r="E308" s="1848"/>
      <c r="F308" s="1848"/>
      <c r="I308" s="490"/>
    </row>
    <row r="309" spans="1:9" ht="14.25">
      <c r="A309" s="484"/>
      <c r="B309" s="484"/>
      <c r="D309" s="1848"/>
      <c r="E309" s="1848"/>
      <c r="F309" s="1848"/>
      <c r="I309" s="490"/>
    </row>
    <row r="310" spans="1:9" ht="14.25">
      <c r="A310" s="484"/>
      <c r="B310" s="484"/>
      <c r="D310" s="1848"/>
      <c r="E310" s="1848"/>
      <c r="F310" s="1848"/>
      <c r="I310" s="490"/>
    </row>
    <row r="311" spans="1:9" ht="14.25">
      <c r="A311" s="484"/>
      <c r="B311" s="484"/>
      <c r="D311" s="1848"/>
      <c r="E311" s="1848"/>
      <c r="F311" s="1848"/>
      <c r="I311" s="490"/>
    </row>
    <row r="312" spans="1:9" ht="14.25">
      <c r="A312" s="484"/>
      <c r="B312" s="484"/>
      <c r="D312" s="494"/>
      <c r="E312" s="495"/>
      <c r="F312" s="495"/>
      <c r="I312" s="490"/>
    </row>
    <row r="313" spans="1:9" ht="13.7" customHeight="1">
      <c r="B313" s="485" t="s">
        <v>2790</v>
      </c>
      <c r="D313" s="1848" t="s">
        <v>1128</v>
      </c>
      <c r="E313" s="1848"/>
      <c r="F313" s="1848"/>
      <c r="I313" s="490"/>
    </row>
    <row r="314" spans="1:9">
      <c r="D314" s="1848"/>
      <c r="E314" s="1848"/>
      <c r="F314" s="1848"/>
      <c r="I314" s="490"/>
    </row>
    <row r="315" spans="1:9" ht="14.25">
      <c r="A315" s="484"/>
      <c r="B315" s="484"/>
      <c r="D315" s="494"/>
      <c r="E315" s="495"/>
      <c r="F315" s="495"/>
      <c r="I315" s="490"/>
    </row>
    <row r="316" spans="1:9">
      <c r="B316" s="485" t="s">
        <v>2790</v>
      </c>
      <c r="D316" s="1825" t="s">
        <v>1129</v>
      </c>
      <c r="E316" s="1825"/>
      <c r="F316" s="1825"/>
      <c r="I316" s="490"/>
    </row>
    <row r="317" spans="1:9">
      <c r="E317" s="446"/>
      <c r="F317" s="446"/>
      <c r="I317" s="490"/>
    </row>
    <row r="318" spans="1:9" ht="14.25">
      <c r="A318" s="484"/>
      <c r="B318" s="485" t="s">
        <v>2790</v>
      </c>
      <c r="D318" s="1824" t="s">
        <v>2195</v>
      </c>
      <c r="E318" s="1824"/>
      <c r="F318" s="1824"/>
      <c r="I318" s="490"/>
    </row>
    <row r="319" spans="1:9" ht="14.25">
      <c r="A319" s="484"/>
      <c r="B319" s="484"/>
      <c r="D319" s="1824"/>
      <c r="E319" s="1824"/>
      <c r="F319" s="1824"/>
      <c r="I319" s="490"/>
    </row>
    <row r="320" spans="1:9" ht="14.25">
      <c r="A320" s="484"/>
      <c r="B320" s="484"/>
      <c r="D320" s="1824"/>
      <c r="E320" s="1824"/>
      <c r="F320" s="1824"/>
      <c r="I320" s="490"/>
    </row>
    <row r="321" spans="1:9" ht="14.25">
      <c r="A321" s="484"/>
      <c r="B321" s="484"/>
      <c r="D321" s="1824"/>
      <c r="E321" s="1824"/>
      <c r="F321" s="1824"/>
      <c r="I321" s="490"/>
    </row>
    <row r="322" spans="1:9" ht="14.25">
      <c r="A322" s="484"/>
      <c r="B322" s="484"/>
      <c r="D322" s="1824"/>
      <c r="E322" s="1824"/>
      <c r="F322" s="1824"/>
      <c r="I322" s="490"/>
    </row>
    <row r="323" spans="1:9" ht="14.25">
      <c r="A323" s="484"/>
      <c r="B323" s="484"/>
      <c r="D323" s="1824"/>
      <c r="E323" s="1824"/>
      <c r="F323" s="1824"/>
      <c r="I323" s="490"/>
    </row>
    <row r="324" spans="1:9" ht="14.25">
      <c r="A324" s="484"/>
      <c r="B324" s="484"/>
      <c r="D324" s="1824"/>
      <c r="E324" s="1824"/>
      <c r="F324" s="1824"/>
      <c r="I324" s="490"/>
    </row>
    <row r="325" spans="1:9" ht="14.25">
      <c r="A325" s="484"/>
      <c r="B325" s="484"/>
      <c r="D325" s="1824"/>
      <c r="E325" s="1824"/>
      <c r="F325" s="1824"/>
      <c r="I325" s="490"/>
    </row>
    <row r="326" spans="1:9" ht="14.25">
      <c r="A326" s="484"/>
      <c r="B326" s="484"/>
      <c r="D326" s="1824"/>
      <c r="E326" s="1824"/>
      <c r="F326" s="1824"/>
      <c r="I326" s="490"/>
    </row>
    <row r="327" spans="1:9" ht="14.25">
      <c r="A327" s="484"/>
      <c r="B327" s="484"/>
      <c r="D327" s="1824"/>
      <c r="E327" s="1824"/>
      <c r="F327" s="1824"/>
      <c r="I327" s="490"/>
    </row>
    <row r="328" spans="1:9" ht="14.25">
      <c r="A328" s="484"/>
      <c r="B328" s="484"/>
      <c r="D328" s="1824"/>
      <c r="E328" s="1824"/>
      <c r="F328" s="1824"/>
      <c r="I328" s="490"/>
    </row>
    <row r="329" spans="1:9" ht="14.25">
      <c r="A329" s="484"/>
      <c r="B329" s="484"/>
      <c r="D329" s="1824"/>
      <c r="E329" s="1824"/>
      <c r="F329" s="1824"/>
      <c r="I329" s="490"/>
    </row>
    <row r="330" spans="1:9" ht="14.25">
      <c r="A330" s="484"/>
      <c r="B330" s="484"/>
      <c r="D330" s="1824"/>
      <c r="E330" s="1824"/>
      <c r="F330" s="1824"/>
      <c r="I330" s="490"/>
    </row>
    <row r="331" spans="1:9" ht="14.25">
      <c r="A331" s="484"/>
      <c r="B331" s="484"/>
      <c r="D331" s="1824"/>
      <c r="E331" s="1824"/>
      <c r="F331" s="1824"/>
      <c r="I331" s="490"/>
    </row>
    <row r="332" spans="1:9" ht="14.25">
      <c r="A332" s="484"/>
      <c r="B332" s="484"/>
      <c r="D332" s="1824"/>
      <c r="E332" s="1824"/>
      <c r="F332" s="1824"/>
      <c r="I332" s="490"/>
    </row>
    <row r="333" spans="1:9">
      <c r="D333" s="446"/>
      <c r="E333" s="446"/>
      <c r="F333" s="446"/>
      <c r="I333" s="490"/>
    </row>
    <row r="334" spans="1:9" ht="14.25">
      <c r="A334" s="484"/>
      <c r="B334" s="485" t="s">
        <v>2790</v>
      </c>
      <c r="D334" s="1824" t="s">
        <v>1130</v>
      </c>
      <c r="E334" s="1824"/>
      <c r="F334" s="1824"/>
      <c r="I334" s="490"/>
    </row>
    <row r="335" spans="1:9">
      <c r="D335" s="1824"/>
      <c r="E335" s="1824"/>
      <c r="F335" s="1824"/>
      <c r="I335" s="490"/>
    </row>
    <row r="336" spans="1:9">
      <c r="D336" s="1824"/>
      <c r="E336" s="1824"/>
      <c r="F336" s="1824"/>
      <c r="I336" s="490"/>
    </row>
    <row r="337" spans="1:9">
      <c r="D337" s="1824"/>
      <c r="E337" s="1824"/>
      <c r="F337" s="1824"/>
      <c r="I337" s="490"/>
    </row>
    <row r="338" spans="1:9">
      <c r="D338" s="1824"/>
      <c r="E338" s="1824"/>
      <c r="F338" s="1824"/>
      <c r="I338" s="490"/>
    </row>
    <row r="339" spans="1:9">
      <c r="D339" s="1824"/>
      <c r="E339" s="1824"/>
      <c r="F339" s="1824"/>
      <c r="I339" s="490"/>
    </row>
    <row r="340" spans="1:9">
      <c r="D340" s="1824"/>
      <c r="E340" s="1824"/>
      <c r="F340" s="1824"/>
      <c r="I340" s="490"/>
    </row>
    <row r="341" spans="1:9">
      <c r="D341" s="1824"/>
      <c r="E341" s="1824"/>
      <c r="F341" s="1824"/>
      <c r="I341" s="490"/>
    </row>
    <row r="342" spans="1:9">
      <c r="D342" s="1824"/>
      <c r="E342" s="1824"/>
      <c r="F342" s="1824"/>
      <c r="I342" s="490"/>
    </row>
    <row r="343" spans="1:9">
      <c r="D343" s="446"/>
      <c r="E343" s="446"/>
      <c r="F343" s="446"/>
      <c r="I343" s="490"/>
    </row>
    <row r="344" spans="1:9" ht="14.25" customHeight="1">
      <c r="A344" s="484"/>
      <c r="B344" s="485" t="s">
        <v>2790</v>
      </c>
      <c r="D344" s="1824" t="s">
        <v>1873</v>
      </c>
      <c r="E344" s="1824"/>
      <c r="F344" s="1824"/>
      <c r="I344" s="490"/>
    </row>
    <row r="345" spans="1:9">
      <c r="D345" s="1824"/>
      <c r="E345" s="1824"/>
      <c r="F345" s="1824"/>
      <c r="I345" s="490"/>
    </row>
    <row r="346" spans="1:9">
      <c r="D346" s="1824"/>
      <c r="E346" s="1824"/>
      <c r="F346" s="1824"/>
      <c r="I346" s="490"/>
    </row>
    <row r="347" spans="1:9">
      <c r="D347" s="1824"/>
      <c r="E347" s="1824"/>
      <c r="F347" s="1824"/>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857" t="s">
        <v>977</v>
      </c>
      <c r="E351" s="1857"/>
      <c r="F351" s="1857"/>
      <c r="G351" s="1022"/>
      <c r="H351" s="1022"/>
      <c r="I351" s="1150"/>
    </row>
    <row r="352" spans="1:9" ht="13.5" thickTop="1">
      <c r="D352" s="1856" t="s">
        <v>2196</v>
      </c>
      <c r="E352" s="1856"/>
      <c r="F352" s="1856"/>
      <c r="I352" s="490"/>
    </row>
    <row r="353" spans="1:9">
      <c r="D353" s="446"/>
      <c r="E353" s="446"/>
      <c r="F353" s="446"/>
      <c r="I353" s="490"/>
    </row>
    <row r="354" spans="1:9">
      <c r="A354" s="476"/>
      <c r="B354" s="476"/>
      <c r="C354" s="476"/>
      <c r="D354" s="447"/>
      <c r="E354" s="447"/>
      <c r="F354" s="446"/>
      <c r="I354" s="490"/>
    </row>
    <row r="355" spans="1:9" ht="14.25">
      <c r="A355" s="484"/>
      <c r="B355" s="485" t="s">
        <v>2790</v>
      </c>
      <c r="C355" s="487"/>
      <c r="D355" s="1825" t="s">
        <v>1871</v>
      </c>
      <c r="E355" s="1825"/>
      <c r="F355" s="1825"/>
      <c r="I355" s="490"/>
    </row>
    <row r="356" spans="1:9" ht="12.75" customHeight="1">
      <c r="D356" s="1032"/>
      <c r="E356" s="96" t="s">
        <v>1870</v>
      </c>
      <c r="F356" s="1032"/>
      <c r="I356" s="490"/>
    </row>
    <row r="357" spans="1:9">
      <c r="D357" s="1824" t="s">
        <v>1237</v>
      </c>
      <c r="E357" s="1824"/>
      <c r="F357" s="1824"/>
      <c r="I357" s="490"/>
    </row>
    <row r="358" spans="1:9">
      <c r="D358" s="1824"/>
      <c r="E358" s="1824"/>
      <c r="F358" s="1824"/>
      <c r="I358" s="490"/>
    </row>
    <row r="359" spans="1:9">
      <c r="D359" s="1824"/>
      <c r="E359" s="1824"/>
      <c r="F359" s="1824"/>
      <c r="I359" s="490"/>
    </row>
    <row r="360" spans="1:9" ht="14.25">
      <c r="A360" s="484"/>
      <c r="B360" s="485" t="s">
        <v>2790</v>
      </c>
      <c r="C360" s="476"/>
      <c r="D360" s="1838" t="s">
        <v>2013</v>
      </c>
      <c r="E360" s="1838"/>
      <c r="F360" s="1838"/>
      <c r="I360" s="480"/>
    </row>
    <row r="361" spans="1:9">
      <c r="A361" s="476"/>
      <c r="B361" s="476"/>
      <c r="C361" s="476"/>
      <c r="D361" s="447"/>
      <c r="E361" s="447"/>
      <c r="F361" s="446"/>
      <c r="I361" s="490"/>
    </row>
    <row r="362" spans="1:9">
      <c r="A362" s="476"/>
      <c r="B362" s="485" t="s">
        <v>2790</v>
      </c>
      <c r="C362" s="476"/>
      <c r="D362" s="1805" t="s">
        <v>2014</v>
      </c>
      <c r="E362" s="1805"/>
      <c r="F362" s="1805"/>
      <c r="I362" s="490"/>
    </row>
    <row r="363" spans="1:9">
      <c r="A363" s="476"/>
      <c r="B363" s="476"/>
      <c r="C363" s="476"/>
      <c r="D363" s="1805"/>
      <c r="E363" s="1805"/>
      <c r="F363" s="1805"/>
      <c r="I363" s="490"/>
    </row>
    <row r="364" spans="1:9">
      <c r="A364" s="476"/>
      <c r="B364" s="476"/>
      <c r="C364" s="476"/>
      <c r="D364" s="1805"/>
      <c r="E364" s="1805"/>
      <c r="F364" s="1805"/>
      <c r="I364" s="490"/>
    </row>
    <row r="365" spans="1:9">
      <c r="A365" s="476"/>
      <c r="B365" s="476"/>
      <c r="C365" s="476"/>
      <c r="D365" s="1805"/>
      <c r="E365" s="1805"/>
      <c r="F365" s="1805"/>
      <c r="I365" s="490"/>
    </row>
    <row r="366" spans="1:9">
      <c r="A366" s="476"/>
      <c r="B366" s="476"/>
      <c r="C366" s="476"/>
      <c r="D366" s="1805"/>
      <c r="E366" s="1805"/>
      <c r="F366" s="1805"/>
      <c r="I366" s="490"/>
    </row>
    <row r="367" spans="1:9">
      <c r="A367" s="476"/>
      <c r="B367" s="476"/>
      <c r="C367" s="476"/>
      <c r="D367" s="1805"/>
      <c r="E367" s="1805"/>
      <c r="F367" s="1805"/>
      <c r="I367" s="490"/>
    </row>
    <row r="368" spans="1:9">
      <c r="A368" s="476"/>
      <c r="B368" s="476"/>
      <c r="C368" s="476"/>
      <c r="D368" s="1805"/>
      <c r="E368" s="1805"/>
      <c r="F368" s="1805"/>
      <c r="I368" s="490"/>
    </row>
    <row r="369" spans="1:9">
      <c r="A369" s="476"/>
      <c r="B369" s="476"/>
      <c r="C369" s="476"/>
      <c r="D369" s="1805"/>
      <c r="E369" s="1805"/>
      <c r="F369" s="1805"/>
      <c r="I369" s="490"/>
    </row>
    <row r="370" spans="1:9">
      <c r="A370" s="476"/>
      <c r="B370" s="476"/>
      <c r="C370" s="476"/>
      <c r="D370" s="1805"/>
      <c r="E370" s="1805"/>
      <c r="F370" s="1805"/>
      <c r="I370" s="490"/>
    </row>
    <row r="371" spans="1:9">
      <c r="A371" s="476"/>
      <c r="B371" s="476"/>
      <c r="C371" s="476"/>
      <c r="D371" s="1805"/>
      <c r="E371" s="1805"/>
      <c r="F371" s="1805"/>
      <c r="I371" s="490"/>
    </row>
    <row r="372" spans="1:9">
      <c r="A372" s="476"/>
      <c r="B372" s="476"/>
      <c r="C372" s="476"/>
      <c r="D372" s="1805"/>
      <c r="E372" s="1805"/>
      <c r="F372" s="1805"/>
      <c r="I372" s="490"/>
    </row>
    <row r="373" spans="1:9">
      <c r="A373" s="476"/>
      <c r="B373" s="476"/>
      <c r="C373" s="476"/>
      <c r="D373" s="1805"/>
      <c r="E373" s="1805"/>
      <c r="F373" s="1805"/>
      <c r="I373" s="490"/>
    </row>
    <row r="374" spans="1:9">
      <c r="A374" s="476"/>
      <c r="B374" s="476"/>
      <c r="C374" s="476"/>
      <c r="D374" s="451"/>
      <c r="E374" s="451"/>
      <c r="F374" s="451"/>
      <c r="I374" s="490"/>
    </row>
    <row r="375" spans="1:9" ht="12.4" customHeight="1">
      <c r="A375" s="476"/>
      <c r="B375" s="485" t="s">
        <v>2790</v>
      </c>
      <c r="C375" s="476"/>
      <c r="D375" s="1820" t="s">
        <v>1219</v>
      </c>
      <c r="E375" s="1820"/>
      <c r="F375" s="1820"/>
      <c r="I375" s="490"/>
    </row>
    <row r="376" spans="1:9">
      <c r="A376" s="476"/>
      <c r="B376" s="476"/>
      <c r="C376" s="476"/>
      <c r="D376" s="1820"/>
      <c r="E376" s="1820"/>
      <c r="F376" s="1820"/>
      <c r="I376" s="490"/>
    </row>
    <row r="377" spans="1:9">
      <c r="A377" s="476"/>
      <c r="B377" s="476"/>
      <c r="C377" s="476"/>
      <c r="D377" s="1820"/>
      <c r="E377" s="1820"/>
      <c r="F377" s="1820"/>
      <c r="I377" s="490"/>
    </row>
    <row r="378" spans="1:9">
      <c r="A378" s="476"/>
      <c r="B378" s="476"/>
      <c r="C378" s="476"/>
      <c r="D378" s="1820"/>
      <c r="E378" s="1820"/>
      <c r="F378" s="1820"/>
      <c r="I378" s="490"/>
    </row>
    <row r="379" spans="1:9">
      <c r="A379" s="476"/>
      <c r="B379" s="476"/>
      <c r="C379" s="476"/>
      <c r="D379" s="524"/>
      <c r="E379" s="524"/>
      <c r="F379" s="524"/>
      <c r="I379" s="490"/>
    </row>
    <row r="380" spans="1:9">
      <c r="A380" s="476"/>
      <c r="B380" s="485" t="s">
        <v>2790</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2790</v>
      </c>
      <c r="C387" s="476"/>
      <c r="D387" s="1805" t="s">
        <v>1131</v>
      </c>
      <c r="E387" s="1805"/>
      <c r="F387" s="1805"/>
      <c r="I387" s="490"/>
    </row>
    <row r="388" spans="1:9">
      <c r="A388" s="476"/>
      <c r="B388" s="476"/>
      <c r="C388" s="476"/>
      <c r="D388" s="1805"/>
      <c r="E388" s="1805"/>
      <c r="F388" s="1805"/>
      <c r="I388" s="490"/>
    </row>
    <row r="389" spans="1:9">
      <c r="A389" s="476"/>
      <c r="B389" s="476"/>
      <c r="C389" s="476"/>
      <c r="D389" s="1805"/>
      <c r="E389" s="1805"/>
      <c r="F389" s="1805"/>
      <c r="I389" s="490"/>
    </row>
    <row r="390" spans="1:9">
      <c r="A390" s="476"/>
      <c r="B390" s="476"/>
      <c r="C390" s="476"/>
      <c r="D390" s="1805"/>
      <c r="E390" s="1805"/>
      <c r="F390" s="1805"/>
      <c r="I390" s="490"/>
    </row>
    <row r="391" spans="1:9">
      <c r="A391" s="476"/>
      <c r="B391" s="476"/>
      <c r="C391" s="476"/>
      <c r="D391" s="447"/>
      <c r="E391" s="447"/>
      <c r="F391" s="446"/>
      <c r="I391" s="490"/>
    </row>
    <row r="392" spans="1:9">
      <c r="A392" s="476"/>
      <c r="B392" s="476"/>
      <c r="C392" s="476"/>
      <c r="D392" s="1805" t="s">
        <v>1132</v>
      </c>
      <c r="E392" s="1805"/>
      <c r="F392" s="1805"/>
      <c r="I392" s="490"/>
    </row>
    <row r="393" spans="1:9">
      <c r="A393" s="476"/>
      <c r="B393" s="476"/>
      <c r="C393" s="476"/>
      <c r="D393" s="1805"/>
      <c r="E393" s="1805"/>
      <c r="F393" s="1805"/>
      <c r="I393" s="490"/>
    </row>
    <row r="394" spans="1:9">
      <c r="A394" s="476"/>
      <c r="B394" s="476"/>
      <c r="C394" s="476"/>
      <c r="D394" s="1805"/>
      <c r="E394" s="1805"/>
      <c r="F394" s="1805"/>
      <c r="I394" s="490"/>
    </row>
    <row r="395" spans="1:9">
      <c r="A395" s="476"/>
      <c r="B395" s="476"/>
      <c r="C395" s="476"/>
      <c r="D395" s="1805"/>
      <c r="E395" s="1805"/>
      <c r="F395" s="1805"/>
      <c r="I395" s="490"/>
    </row>
    <row r="396" spans="1:9" ht="18" customHeight="1">
      <c r="A396" s="476"/>
      <c r="B396" s="476"/>
      <c r="C396" s="476"/>
      <c r="D396" s="1805"/>
      <c r="E396" s="1805"/>
      <c r="F396" s="1805"/>
      <c r="I396" s="490"/>
    </row>
    <row r="397" spans="1:9">
      <c r="A397" s="476"/>
      <c r="B397" s="476"/>
      <c r="C397" s="476"/>
      <c r="D397" s="1805"/>
      <c r="E397" s="1805"/>
      <c r="F397" s="1805"/>
      <c r="I397" s="490"/>
    </row>
    <row r="398" spans="1:9">
      <c r="A398" s="476"/>
      <c r="B398" s="476"/>
      <c r="C398" s="476"/>
      <c r="D398" s="1805"/>
      <c r="E398" s="1805"/>
      <c r="F398" s="1805"/>
      <c r="I398" s="490"/>
    </row>
    <row r="399" spans="1:9">
      <c r="A399" s="476"/>
      <c r="B399" s="476"/>
      <c r="C399" s="476"/>
      <c r="D399" s="1805"/>
      <c r="E399" s="1805"/>
      <c r="F399" s="1805"/>
      <c r="I399" s="490"/>
    </row>
    <row r="400" spans="1:9" ht="8.25" customHeight="1">
      <c r="A400" s="476"/>
      <c r="B400" s="476"/>
      <c r="C400" s="476"/>
      <c r="D400" s="1805"/>
      <c r="E400" s="1805"/>
      <c r="F400" s="1805"/>
      <c r="I400" s="490"/>
    </row>
    <row r="401" spans="1:9" ht="13.7" customHeight="1">
      <c r="A401" s="476"/>
      <c r="B401" s="476"/>
      <c r="C401" s="476"/>
      <c r="D401" s="1805" t="s">
        <v>1133</v>
      </c>
      <c r="E401" s="1805"/>
      <c r="F401" s="1805"/>
      <c r="I401" s="490"/>
    </row>
    <row r="402" spans="1:9">
      <c r="A402" s="476"/>
      <c r="B402" s="476"/>
      <c r="C402" s="476"/>
      <c r="D402" s="1805"/>
      <c r="E402" s="1805"/>
      <c r="F402" s="1805"/>
      <c r="I402" s="490"/>
    </row>
    <row r="403" spans="1:9">
      <c r="A403" s="476"/>
      <c r="B403" s="476"/>
      <c r="C403" s="476"/>
      <c r="D403" s="1805"/>
      <c r="E403" s="1805"/>
      <c r="F403" s="1805"/>
      <c r="I403" s="490"/>
    </row>
    <row r="404" spans="1:9">
      <c r="A404" s="476"/>
      <c r="B404" s="476"/>
      <c r="C404" s="476"/>
      <c r="D404" s="1805"/>
      <c r="E404" s="1805"/>
      <c r="F404" s="1805"/>
      <c r="I404" s="490"/>
    </row>
    <row r="405" spans="1:9">
      <c r="A405" s="476"/>
      <c r="B405" s="476"/>
      <c r="C405" s="476"/>
      <c r="D405" s="1805"/>
      <c r="E405" s="1805"/>
      <c r="F405" s="1805"/>
      <c r="I405" s="490"/>
    </row>
    <row r="406" spans="1:9">
      <c r="A406" s="476"/>
      <c r="B406" s="476"/>
      <c r="C406" s="476"/>
      <c r="D406" s="1805"/>
      <c r="E406" s="1805"/>
      <c r="F406" s="1805"/>
      <c r="I406" s="490"/>
    </row>
    <row r="407" spans="1:9">
      <c r="A407" s="476"/>
      <c r="B407" s="476"/>
      <c r="C407" s="476"/>
      <c r="D407" s="1805"/>
      <c r="E407" s="1805"/>
      <c r="F407" s="1805"/>
      <c r="I407" s="490"/>
    </row>
    <row r="408" spans="1:9">
      <c r="A408" s="476"/>
      <c r="B408" s="476"/>
      <c r="C408" s="476"/>
      <c r="D408" s="1805"/>
      <c r="E408" s="1805"/>
      <c r="F408" s="1805"/>
      <c r="I408" s="490"/>
    </row>
    <row r="409" spans="1:9">
      <c r="A409" s="476"/>
      <c r="B409" s="476"/>
      <c r="C409" s="476"/>
      <c r="D409" s="1805"/>
      <c r="E409" s="1805"/>
      <c r="F409" s="1805"/>
      <c r="I409" s="490"/>
    </row>
    <row r="410" spans="1:9">
      <c r="A410" s="476"/>
      <c r="B410" s="476"/>
      <c r="C410" s="476"/>
      <c r="D410" s="1805"/>
      <c r="E410" s="1805"/>
      <c r="F410" s="1805"/>
      <c r="I410" s="490"/>
    </row>
    <row r="411" spans="1:9">
      <c r="A411" s="476"/>
      <c r="B411" s="476"/>
      <c r="C411" s="476"/>
      <c r="D411" s="1805"/>
      <c r="E411" s="1805"/>
      <c r="F411" s="1805"/>
      <c r="I411" s="490"/>
    </row>
    <row r="412" spans="1:9">
      <c r="A412" s="476"/>
      <c r="B412" s="476"/>
      <c r="C412" s="476"/>
      <c r="D412" s="1805"/>
      <c r="E412" s="1805"/>
      <c r="F412" s="1805"/>
      <c r="I412" s="490"/>
    </row>
    <row r="413" spans="1:9">
      <c r="A413" s="476"/>
      <c r="B413" s="476"/>
      <c r="C413" s="496"/>
      <c r="D413" s="1805"/>
      <c r="E413" s="1805"/>
      <c r="F413" s="1805"/>
      <c r="I413" s="490"/>
    </row>
    <row r="414" spans="1:9">
      <c r="A414" s="476"/>
      <c r="B414" s="476"/>
      <c r="C414" s="496"/>
      <c r="D414" s="1805"/>
      <c r="E414" s="1805"/>
      <c r="F414" s="1805"/>
      <c r="I414" s="490"/>
    </row>
    <row r="415" spans="1:9">
      <c r="A415" s="476"/>
      <c r="B415" s="476"/>
      <c r="C415" s="476"/>
      <c r="D415" s="1805"/>
      <c r="E415" s="1805"/>
      <c r="F415" s="1805"/>
      <c r="I415" s="490"/>
    </row>
    <row r="416" spans="1:9">
      <c r="A416" s="476"/>
      <c r="B416" s="476"/>
      <c r="C416" s="496"/>
      <c r="D416" s="1805"/>
      <c r="E416" s="1805"/>
      <c r="F416" s="1805"/>
      <c r="I416" s="490"/>
    </row>
    <row r="417" spans="1:9">
      <c r="A417" s="476"/>
      <c r="B417" s="476"/>
      <c r="C417" s="496"/>
      <c r="D417" s="1805"/>
      <c r="E417" s="1805"/>
      <c r="F417" s="1805"/>
      <c r="I417" s="490"/>
    </row>
    <row r="418" spans="1:9">
      <c r="A418" s="476"/>
      <c r="B418" s="476"/>
      <c r="C418" s="496"/>
      <c r="D418" s="1805"/>
      <c r="E418" s="1805"/>
      <c r="F418" s="1805"/>
      <c r="I418" s="490"/>
    </row>
    <row r="419" spans="1:9">
      <c r="A419" s="476"/>
      <c r="B419" s="476"/>
      <c r="C419" s="476"/>
      <c r="D419" s="447"/>
      <c r="E419" s="447"/>
      <c r="F419" s="446"/>
      <c r="I419" s="490"/>
    </row>
    <row r="420" spans="1:9">
      <c r="A420" s="476"/>
      <c r="B420" s="485" t="s">
        <v>2790</v>
      </c>
      <c r="C420" s="476"/>
      <c r="D420" s="1805" t="s">
        <v>1134</v>
      </c>
      <c r="E420" s="1805"/>
      <c r="F420" s="1805"/>
      <c r="I420" s="490"/>
    </row>
    <row r="421" spans="1:9">
      <c r="A421" s="476"/>
      <c r="B421" s="476"/>
      <c r="C421" s="476"/>
      <c r="D421" s="1805"/>
      <c r="E421" s="1805"/>
      <c r="F421" s="1805"/>
      <c r="I421" s="490"/>
    </row>
    <row r="422" spans="1:9">
      <c r="A422" s="476"/>
      <c r="B422" s="476"/>
      <c r="C422" s="476"/>
      <c r="D422" s="451"/>
      <c r="E422" s="451"/>
      <c r="F422" s="451"/>
      <c r="I422" s="490"/>
    </row>
    <row r="423" spans="1:9" ht="14.45" customHeight="1">
      <c r="A423" s="484"/>
      <c r="B423" s="485" t="s">
        <v>2790</v>
      </c>
      <c r="D423" s="1805" t="s">
        <v>1853</v>
      </c>
      <c r="E423" s="1805"/>
      <c r="F423" s="1805"/>
      <c r="I423" s="490"/>
    </row>
    <row r="424" spans="1:9" ht="14.45" customHeight="1">
      <c r="A424" s="484"/>
      <c r="D424" s="1805"/>
      <c r="E424" s="1805"/>
      <c r="F424" s="1805"/>
      <c r="I424" s="490"/>
    </row>
    <row r="425" spans="1:9" ht="14.45" customHeight="1">
      <c r="A425" s="484"/>
      <c r="D425" s="1805"/>
      <c r="E425" s="1805"/>
      <c r="F425" s="1805"/>
      <c r="I425" s="490"/>
    </row>
    <row r="426" spans="1:9" ht="14.45" customHeight="1">
      <c r="A426" s="484"/>
      <c r="D426" s="1805"/>
      <c r="E426" s="1805"/>
      <c r="F426" s="1805"/>
      <c r="I426" s="490"/>
    </row>
    <row r="427" spans="1:9" ht="14.45" customHeight="1">
      <c r="A427" s="484"/>
      <c r="D427" s="1805"/>
      <c r="E427" s="1805"/>
      <c r="F427" s="1805"/>
      <c r="I427" s="490"/>
    </row>
    <row r="428" spans="1:9" ht="14.45" customHeight="1">
      <c r="A428" s="484"/>
      <c r="D428" s="385"/>
      <c r="E428" s="385"/>
      <c r="F428" s="385"/>
      <c r="I428" s="490"/>
    </row>
    <row r="429" spans="1:9" ht="13.7" customHeight="1">
      <c r="A429" s="484"/>
      <c r="B429" s="485" t="s">
        <v>2790</v>
      </c>
      <c r="C429" s="476"/>
      <c r="D429" s="1805" t="s">
        <v>1238</v>
      </c>
      <c r="E429" s="1805"/>
      <c r="F429" s="1805"/>
      <c r="I429" s="490"/>
    </row>
    <row r="430" spans="1:9" ht="14.25">
      <c r="A430" s="497"/>
      <c r="B430" s="497"/>
      <c r="C430" s="476"/>
      <c r="D430" s="1805"/>
      <c r="E430" s="1805"/>
      <c r="F430" s="1805"/>
      <c r="I430" s="490"/>
    </row>
    <row r="431" spans="1:9" ht="14.25">
      <c r="A431" s="497"/>
      <c r="B431" s="497"/>
      <c r="C431" s="476"/>
      <c r="D431" s="1805"/>
      <c r="E431" s="1805"/>
      <c r="F431" s="1805"/>
      <c r="I431" s="490"/>
    </row>
    <row r="432" spans="1:9" ht="14.25">
      <c r="A432" s="497"/>
      <c r="B432" s="497"/>
      <c r="C432" s="476"/>
      <c r="D432" s="1805"/>
      <c r="E432" s="1805"/>
      <c r="F432" s="1805"/>
      <c r="I432" s="490"/>
    </row>
    <row r="433" spans="1:9" ht="15.75" customHeight="1">
      <c r="A433" s="497"/>
      <c r="B433" s="497"/>
      <c r="C433" s="476"/>
      <c r="D433" s="1830" t="s">
        <v>2605</v>
      </c>
      <c r="E433" s="1805"/>
      <c r="F433" s="1805"/>
      <c r="I433" s="490"/>
    </row>
    <row r="434" spans="1:9">
      <c r="D434" s="446"/>
      <c r="E434" s="446"/>
      <c r="F434" s="446"/>
      <c r="I434" s="490"/>
    </row>
    <row r="435" spans="1:9" ht="14.25">
      <c r="A435" s="484"/>
      <c r="B435" s="485" t="s">
        <v>2790</v>
      </c>
      <c r="C435" s="487"/>
      <c r="D435" s="1824" t="s">
        <v>2015</v>
      </c>
      <c r="E435" s="1824"/>
      <c r="F435" s="1824"/>
      <c r="I435" s="490"/>
    </row>
    <row r="436" spans="1:9" ht="14.25">
      <c r="A436" s="484"/>
      <c r="B436" s="484"/>
      <c r="D436" s="1824"/>
      <c r="E436" s="1824"/>
      <c r="F436" s="1824"/>
      <c r="I436" s="490"/>
    </row>
    <row r="437" spans="1:9">
      <c r="D437" s="1824"/>
      <c r="E437" s="1824"/>
      <c r="F437" s="1824"/>
      <c r="I437" s="490"/>
    </row>
    <row r="438" spans="1:9">
      <c r="D438" s="1824"/>
      <c r="E438" s="1824"/>
      <c r="F438" s="1824"/>
      <c r="I438" s="490"/>
    </row>
    <row r="439" spans="1:9">
      <c r="D439" s="1824"/>
      <c r="E439" s="1824"/>
      <c r="F439" s="1824"/>
      <c r="I439" s="490"/>
    </row>
    <row r="440" spans="1:9">
      <c r="D440" s="1824"/>
      <c r="E440" s="1824"/>
      <c r="F440" s="1824"/>
      <c r="I440" s="490"/>
    </row>
    <row r="441" spans="1:9">
      <c r="D441" s="1824"/>
      <c r="E441" s="1824"/>
      <c r="F441" s="1824"/>
      <c r="I441" s="490"/>
    </row>
    <row r="442" spans="1:9">
      <c r="D442" s="1824"/>
      <c r="E442" s="1824"/>
      <c r="F442" s="1824"/>
      <c r="I442" s="490"/>
    </row>
    <row r="443" spans="1:9">
      <c r="D443" s="1824"/>
      <c r="E443" s="1824"/>
      <c r="F443" s="1824"/>
      <c r="I443" s="490"/>
    </row>
    <row r="444" spans="1:9">
      <c r="D444" s="1824"/>
      <c r="E444" s="1824"/>
      <c r="F444" s="1824"/>
      <c r="I444" s="490"/>
    </row>
    <row r="445" spans="1:9">
      <c r="D445" s="1824"/>
      <c r="E445" s="1824"/>
      <c r="F445" s="1824"/>
      <c r="I445" s="490"/>
    </row>
    <row r="446" spans="1:9">
      <c r="D446" s="1824"/>
      <c r="E446" s="1824"/>
      <c r="F446" s="1824"/>
      <c r="I446" s="490"/>
    </row>
    <row r="447" spans="1:9">
      <c r="D447" s="1824"/>
      <c r="E447" s="1824"/>
      <c r="F447" s="1824"/>
      <c r="I447" s="490"/>
    </row>
    <row r="448" spans="1:9">
      <c r="A448" s="402"/>
      <c r="B448" s="402"/>
      <c r="C448" s="402"/>
      <c r="D448" s="1824"/>
      <c r="E448" s="1824"/>
      <c r="F448" s="1824"/>
      <c r="I448" s="490"/>
    </row>
    <row r="449" spans="1:9">
      <c r="A449" s="402"/>
      <c r="B449" s="402"/>
      <c r="C449" s="402"/>
      <c r="D449" s="1824"/>
      <c r="E449" s="1824"/>
      <c r="F449" s="1824"/>
      <c r="I449" s="490"/>
    </row>
    <row r="450" spans="1:9">
      <c r="A450" s="402"/>
      <c r="B450" s="402"/>
      <c r="C450" s="402"/>
      <c r="D450" s="1824"/>
      <c r="E450" s="1824"/>
      <c r="F450" s="1824"/>
      <c r="I450" s="490"/>
    </row>
    <row r="451" spans="1:9">
      <c r="A451" s="402"/>
      <c r="B451" s="402"/>
      <c r="C451" s="402"/>
      <c r="D451" s="1824"/>
      <c r="E451" s="1824"/>
      <c r="F451" s="1824"/>
      <c r="I451" s="490"/>
    </row>
    <row r="452" spans="1:9">
      <c r="A452" s="402"/>
      <c r="B452" s="402"/>
      <c r="C452" s="402"/>
      <c r="D452" s="1824"/>
      <c r="E452" s="1824"/>
      <c r="F452" s="1824"/>
      <c r="I452" s="490"/>
    </row>
    <row r="453" spans="1:9">
      <c r="A453" s="402"/>
      <c r="B453" s="402"/>
      <c r="C453" s="402"/>
      <c r="D453" s="1824"/>
      <c r="E453" s="1824"/>
      <c r="F453" s="1824"/>
      <c r="I453" s="490"/>
    </row>
    <row r="454" spans="1:9">
      <c r="A454" s="402"/>
      <c r="B454" s="402"/>
      <c r="C454" s="402"/>
      <c r="D454" s="1824"/>
      <c r="E454" s="1824"/>
      <c r="F454" s="1824"/>
      <c r="I454" s="490"/>
    </row>
    <row r="455" spans="1:9">
      <c r="A455" s="402"/>
      <c r="B455" s="402"/>
      <c r="C455" s="402"/>
      <c r="D455" s="1824"/>
      <c r="E455" s="1824"/>
      <c r="F455" s="1824"/>
      <c r="I455" s="490"/>
    </row>
    <row r="456" spans="1:9">
      <c r="A456" s="402"/>
      <c r="B456" s="402"/>
      <c r="C456" s="402"/>
      <c r="D456" s="1824"/>
      <c r="E456" s="1824"/>
      <c r="F456" s="1824"/>
      <c r="I456" s="490"/>
    </row>
    <row r="457" spans="1:9">
      <c r="A457" s="402"/>
      <c r="B457" s="402"/>
      <c r="C457" s="402"/>
      <c r="D457" s="1824"/>
      <c r="E457" s="1824"/>
      <c r="F457" s="1824"/>
      <c r="I457" s="490"/>
    </row>
    <row r="458" spans="1:9">
      <c r="A458" s="402"/>
      <c r="B458" s="402"/>
      <c r="C458" s="402"/>
      <c r="D458" s="1824"/>
      <c r="E458" s="1824"/>
      <c r="F458" s="1824"/>
      <c r="I458" s="490"/>
    </row>
    <row r="459" spans="1:9">
      <c r="A459" s="402"/>
      <c r="B459" s="402"/>
      <c r="C459" s="402"/>
      <c r="D459" s="1824"/>
      <c r="E459" s="1824"/>
      <c r="F459" s="1824"/>
      <c r="I459" s="490"/>
    </row>
    <row r="460" spans="1:9">
      <c r="A460" s="402"/>
      <c r="B460" s="402"/>
      <c r="C460" s="402"/>
      <c r="D460" s="1824"/>
      <c r="E460" s="1824"/>
      <c r="F460" s="1824"/>
      <c r="I460" s="490"/>
    </row>
    <row r="461" spans="1:9">
      <c r="A461" s="402"/>
      <c r="B461" s="402"/>
      <c r="C461" s="402"/>
      <c r="D461" s="1824"/>
      <c r="E461" s="1824"/>
      <c r="F461" s="1824"/>
      <c r="I461" s="490"/>
    </row>
    <row r="462" spans="1:9">
      <c r="A462" s="402"/>
      <c r="B462" s="402"/>
      <c r="C462" s="402"/>
      <c r="D462" s="1824"/>
      <c r="E462" s="1824"/>
      <c r="F462" s="1824"/>
      <c r="I462" s="490"/>
    </row>
    <row r="463" spans="1:9">
      <c r="A463" s="402"/>
      <c r="B463" s="402"/>
      <c r="C463" s="402"/>
      <c r="D463" s="1824"/>
      <c r="E463" s="1824"/>
      <c r="F463" s="1824"/>
      <c r="I463" s="490"/>
    </row>
    <row r="464" spans="1:9">
      <c r="D464" s="1824"/>
      <c r="E464" s="1824"/>
      <c r="F464" s="1824"/>
      <c r="I464" s="490"/>
    </row>
    <row r="465" spans="1:9" ht="40.700000000000003" customHeight="1">
      <c r="D465" s="1824"/>
      <c r="E465" s="1824"/>
      <c r="F465" s="1824"/>
      <c r="I465" s="490"/>
    </row>
    <row r="466" spans="1:9">
      <c r="D466" s="446"/>
      <c r="E466" s="446"/>
      <c r="F466" s="446"/>
      <c r="I466" s="490"/>
    </row>
    <row r="467" spans="1:9" ht="14.25">
      <c r="A467" s="484"/>
      <c r="B467" s="485" t="s">
        <v>2790</v>
      </c>
      <c r="C467" s="487"/>
      <c r="D467" s="1824" t="s">
        <v>1135</v>
      </c>
      <c r="E467" s="1824"/>
      <c r="F467" s="1824"/>
      <c r="I467" s="490"/>
    </row>
    <row r="468" spans="1:9">
      <c r="D468" s="1824"/>
      <c r="E468" s="1824"/>
      <c r="F468" s="1824"/>
      <c r="I468" s="490"/>
    </row>
    <row r="469" spans="1:9">
      <c r="D469" s="1824"/>
      <c r="E469" s="1824"/>
      <c r="F469" s="1824"/>
      <c r="I469" s="490"/>
    </row>
    <row r="470" spans="1:9">
      <c r="D470" s="445"/>
      <c r="E470" s="445"/>
      <c r="F470" s="445"/>
      <c r="I470" s="490"/>
    </row>
    <row r="471" spans="1:9" ht="14.25">
      <c r="B471" s="485" t="s">
        <v>2790</v>
      </c>
      <c r="C471" s="484"/>
      <c r="D471" s="1824" t="s">
        <v>1195</v>
      </c>
      <c r="E471" s="1824"/>
      <c r="F471" s="1824"/>
      <c r="I471" s="490"/>
    </row>
    <row r="472" spans="1:9">
      <c r="D472" s="1824"/>
      <c r="E472" s="1824"/>
      <c r="F472" s="1824"/>
      <c r="I472" s="490"/>
    </row>
    <row r="473" spans="1:9">
      <c r="D473" s="446"/>
      <c r="E473" s="446"/>
      <c r="F473" s="446"/>
      <c r="I473" s="490"/>
    </row>
    <row r="474" spans="1:9" ht="14.25">
      <c r="B474" s="485" t="s">
        <v>2790</v>
      </c>
      <c r="C474" s="484"/>
      <c r="D474" s="1824" t="s">
        <v>1136</v>
      </c>
      <c r="E474" s="1824"/>
      <c r="F474" s="1824"/>
      <c r="I474" s="490"/>
    </row>
    <row r="475" spans="1:9">
      <c r="D475" s="1824"/>
      <c r="E475" s="1824"/>
      <c r="F475" s="1824"/>
      <c r="I475" s="490"/>
    </row>
    <row r="476" spans="1:9">
      <c r="D476" s="1824"/>
      <c r="E476" s="1824"/>
      <c r="F476" s="1824"/>
      <c r="I476" s="490"/>
    </row>
    <row r="477" spans="1:9">
      <c r="D477" s="1824"/>
      <c r="E477" s="1824"/>
      <c r="F477" s="1824"/>
      <c r="I477" s="490"/>
    </row>
    <row r="478" spans="1:9">
      <c r="B478" s="485" t="s">
        <v>2790</v>
      </c>
      <c r="D478" s="1824"/>
      <c r="E478" s="1824"/>
      <c r="F478" s="1824"/>
      <c r="I478" s="490"/>
    </row>
    <row r="479" spans="1:9">
      <c r="A479" s="402"/>
      <c r="B479" s="402"/>
      <c r="C479" s="402"/>
      <c r="D479" s="1824"/>
      <c r="E479" s="1824"/>
      <c r="F479" s="1824"/>
      <c r="I479" s="490"/>
    </row>
    <row r="480" spans="1:9">
      <c r="A480" s="402"/>
      <c r="C480" s="402"/>
      <c r="D480" s="1824"/>
      <c r="E480" s="1824"/>
      <c r="F480" s="1824"/>
      <c r="I480" s="490"/>
    </row>
    <row r="481" spans="1:9">
      <c r="A481" s="402"/>
      <c r="B481" s="485" t="s">
        <v>2790</v>
      </c>
      <c r="C481" s="402"/>
      <c r="D481" s="1824"/>
      <c r="E481" s="1824"/>
      <c r="F481" s="1824"/>
      <c r="I481" s="490"/>
    </row>
    <row r="482" spans="1:9">
      <c r="A482" s="402"/>
      <c r="B482" s="402"/>
      <c r="C482" s="402"/>
      <c r="D482" s="1824"/>
      <c r="E482" s="1824"/>
      <c r="F482" s="1824"/>
      <c r="I482" s="490"/>
    </row>
    <row r="483" spans="1:9">
      <c r="A483" s="402"/>
      <c r="C483" s="402"/>
      <c r="D483" s="1824"/>
      <c r="E483" s="1824"/>
      <c r="F483" s="1824"/>
      <c r="I483" s="490"/>
    </row>
    <row r="484" spans="1:9">
      <c r="A484" s="402"/>
      <c r="C484" s="402"/>
      <c r="D484" s="1824"/>
      <c r="E484" s="1824"/>
      <c r="F484" s="1824"/>
      <c r="I484" s="490"/>
    </row>
    <row r="485" spans="1:9">
      <c r="A485" s="402"/>
      <c r="C485" s="402"/>
      <c r="D485" s="1824"/>
      <c r="E485" s="1824"/>
      <c r="F485" s="1824"/>
      <c r="I485" s="490"/>
    </row>
    <row r="486" spans="1:9">
      <c r="A486" s="402"/>
      <c r="B486" s="485" t="s">
        <v>2790</v>
      </c>
      <c r="C486" s="402"/>
      <c r="D486" s="1824"/>
      <c r="E486" s="1824"/>
      <c r="F486" s="1824"/>
      <c r="I486" s="490"/>
    </row>
    <row r="487" spans="1:9">
      <c r="A487" s="402"/>
      <c r="C487" s="402"/>
      <c r="D487" s="1824"/>
      <c r="E487" s="1824"/>
      <c r="F487" s="1824"/>
      <c r="I487" s="490"/>
    </row>
    <row r="488" spans="1:9">
      <c r="A488" s="402"/>
      <c r="B488" s="485" t="s">
        <v>2790</v>
      </c>
      <c r="C488" s="402"/>
      <c r="D488" s="1824" t="s">
        <v>1137</v>
      </c>
      <c r="E488" s="1824"/>
      <c r="F488" s="1824"/>
      <c r="I488" s="490"/>
    </row>
    <row r="489" spans="1:9">
      <c r="A489" s="402"/>
      <c r="B489" s="402"/>
      <c r="C489" s="402"/>
      <c r="D489" s="1824"/>
      <c r="E489" s="1824"/>
      <c r="F489" s="1824"/>
      <c r="I489" s="490"/>
    </row>
    <row r="490" spans="1:9">
      <c r="A490" s="402"/>
      <c r="B490" s="402"/>
      <c r="C490" s="402"/>
      <c r="D490" s="1824"/>
      <c r="E490" s="1824"/>
      <c r="F490" s="1824"/>
      <c r="I490" s="490"/>
    </row>
    <row r="491" spans="1:9">
      <c r="A491" s="402"/>
      <c r="B491" s="402"/>
      <c r="C491" s="402"/>
      <c r="D491" s="1824"/>
      <c r="E491" s="1824"/>
      <c r="F491" s="1824"/>
      <c r="I491" s="490"/>
    </row>
    <row r="492" spans="1:9">
      <c r="D492" s="1824"/>
      <c r="E492" s="1824"/>
      <c r="F492" s="1824"/>
      <c r="I492" s="490"/>
    </row>
    <row r="493" spans="1:9">
      <c r="D493" s="446"/>
      <c r="E493" s="446"/>
      <c r="F493" s="446"/>
      <c r="I493" s="490"/>
    </row>
    <row r="494" spans="1:9">
      <c r="B494" s="485" t="s">
        <v>2790</v>
      </c>
      <c r="D494" s="1825" t="s">
        <v>1138</v>
      </c>
      <c r="E494" s="1825"/>
      <c r="F494" s="1825"/>
      <c r="I494" s="490"/>
    </row>
    <row r="495" spans="1:9">
      <c r="A495" s="446"/>
      <c r="B495" s="446"/>
      <c r="I495" s="490"/>
    </row>
    <row r="496" spans="1:9">
      <c r="A496" s="1827" t="s">
        <v>1048</v>
      </c>
      <c r="B496" s="1827"/>
      <c r="C496" s="1827"/>
      <c r="D496" s="1827"/>
      <c r="E496" s="1827"/>
      <c r="F496" s="1827"/>
      <c r="G496" s="1827"/>
      <c r="H496" s="1023"/>
      <c r="I496" s="1147"/>
    </row>
    <row r="497" spans="1:9">
      <c r="A497" s="446"/>
      <c r="B497" s="446"/>
      <c r="I497" s="490"/>
    </row>
    <row r="498" spans="1:9">
      <c r="D498" s="1837" t="s">
        <v>881</v>
      </c>
      <c r="E498" s="1837"/>
      <c r="F498" s="1837"/>
      <c r="I498" s="490"/>
    </row>
    <row r="499" spans="1:9" ht="14.25">
      <c r="A499" s="484"/>
      <c r="B499" s="484"/>
      <c r="D499" s="1838" t="s">
        <v>1139</v>
      </c>
      <c r="E499" s="1838"/>
      <c r="F499" s="1838"/>
      <c r="I499" s="490"/>
    </row>
    <row r="500" spans="1:9" ht="14.25">
      <c r="A500" s="484"/>
      <c r="B500" s="484"/>
      <c r="D500" s="447"/>
      <c r="I500" s="490"/>
    </row>
    <row r="501" spans="1:9" ht="14.25">
      <c r="A501" s="484"/>
      <c r="B501" s="485" t="s">
        <v>2790</v>
      </c>
      <c r="D501" s="1805" t="s">
        <v>1140</v>
      </c>
      <c r="E501" s="1805"/>
      <c r="F501" s="1805"/>
      <c r="I501" s="490"/>
    </row>
    <row r="502" spans="1:9" ht="14.25">
      <c r="A502" s="484"/>
      <c r="B502" s="484"/>
      <c r="D502" s="1805"/>
      <c r="E502" s="1805"/>
      <c r="F502" s="1805"/>
      <c r="I502" s="490"/>
    </row>
    <row r="503" spans="1:9" ht="14.25">
      <c r="A503" s="484"/>
      <c r="B503" s="484"/>
      <c r="D503" s="446"/>
      <c r="I503" s="490"/>
    </row>
    <row r="504" spans="1:9" ht="12.75" customHeight="1">
      <c r="B504" s="485" t="s">
        <v>2790</v>
      </c>
      <c r="D504" s="1828" t="s">
        <v>1271</v>
      </c>
      <c r="E504" s="1828"/>
      <c r="F504" s="1828"/>
      <c r="I504" s="490"/>
    </row>
    <row r="505" spans="1:9" ht="14.25">
      <c r="A505" s="484"/>
      <c r="D505" s="1828"/>
      <c r="E505" s="1828"/>
      <c r="F505" s="1828"/>
      <c r="I505" s="490"/>
    </row>
    <row r="506" spans="1:9" ht="14.25">
      <c r="A506" s="484"/>
      <c r="B506" s="484"/>
      <c r="D506" s="1828"/>
      <c r="E506" s="1828"/>
      <c r="F506" s="1828"/>
      <c r="I506" s="490"/>
    </row>
    <row r="507" spans="1:9" ht="14.25">
      <c r="A507" s="484"/>
      <c r="B507" s="484"/>
      <c r="D507" s="1828"/>
      <c r="E507" s="1828"/>
      <c r="F507" s="1828"/>
      <c r="I507" s="490"/>
    </row>
    <row r="508" spans="1:9" ht="14.25">
      <c r="A508" s="484"/>
      <c r="D508" s="520"/>
      <c r="E508" s="520"/>
      <c r="F508" s="520"/>
      <c r="I508" s="490"/>
    </row>
    <row r="509" spans="1:9" ht="14.25">
      <c r="A509" s="484"/>
      <c r="B509" s="485" t="s">
        <v>2790</v>
      </c>
      <c r="D509" s="1825" t="s">
        <v>1141</v>
      </c>
      <c r="E509" s="1825"/>
      <c r="F509" s="1825"/>
      <c r="I509" s="490"/>
    </row>
    <row r="510" spans="1:9" ht="14.25">
      <c r="A510" s="484"/>
      <c r="B510" s="484"/>
      <c r="D510" s="446"/>
      <c r="I510" s="490"/>
    </row>
    <row r="511" spans="1:9" ht="14.25">
      <c r="A511" s="484"/>
      <c r="B511" s="485" t="s">
        <v>2790</v>
      </c>
      <c r="D511" s="1824" t="s">
        <v>1142</v>
      </c>
      <c r="E511" s="1824"/>
      <c r="F511" s="1824"/>
      <c r="I511" s="490"/>
    </row>
    <row r="512" spans="1:9" ht="14.25">
      <c r="A512" s="484"/>
      <c r="D512" s="1824"/>
      <c r="E512" s="1824"/>
      <c r="F512" s="1824"/>
      <c r="I512" s="490"/>
    </row>
    <row r="513" spans="1:9">
      <c r="A513" s="490"/>
      <c r="B513" s="490"/>
      <c r="D513" s="447"/>
      <c r="I513" s="490"/>
    </row>
    <row r="514" spans="1:9">
      <c r="A514" s="490"/>
      <c r="B514" s="485" t="s">
        <v>2790</v>
      </c>
      <c r="D514" s="1825" t="s">
        <v>1143</v>
      </c>
      <c r="E514" s="1825"/>
      <c r="F514" s="1825"/>
      <c r="I514" s="490"/>
    </row>
    <row r="515" spans="1:9">
      <c r="D515" s="446"/>
      <c r="E515" s="446"/>
      <c r="F515" s="446"/>
      <c r="I515" s="490"/>
    </row>
    <row r="516" spans="1:9">
      <c r="B516" s="485" t="s">
        <v>2790</v>
      </c>
      <c r="D516" s="1824" t="s">
        <v>2218</v>
      </c>
      <c r="E516" s="1824"/>
      <c r="F516" s="1824"/>
      <c r="I516" s="490"/>
    </row>
    <row r="517" spans="1:9">
      <c r="D517" s="1824"/>
      <c r="E517" s="1824"/>
      <c r="F517" s="1824"/>
      <c r="I517" s="490"/>
    </row>
    <row r="518" spans="1:9">
      <c r="D518" s="1824"/>
      <c r="E518" s="1824"/>
      <c r="F518" s="1824"/>
      <c r="I518" s="490"/>
    </row>
    <row r="519" spans="1:9">
      <c r="D519" s="446"/>
      <c r="E519" s="446"/>
      <c r="F519" s="446"/>
      <c r="I519" s="490"/>
    </row>
    <row r="520" spans="1:9" ht="14.25">
      <c r="A520" s="484"/>
      <c r="B520" s="484"/>
      <c r="D520" s="446"/>
      <c r="I520" s="490"/>
    </row>
    <row r="521" spans="1:9">
      <c r="A521" s="1827" t="s">
        <v>1049</v>
      </c>
      <c r="B521" s="1827"/>
      <c r="C521" s="1827"/>
      <c r="D521" s="1827"/>
      <c r="E521" s="1827"/>
      <c r="F521" s="1827"/>
      <c r="G521" s="1827"/>
      <c r="H521" s="1023"/>
      <c r="I521" s="1147"/>
    </row>
    <row r="522" spans="1:9" ht="12" customHeight="1">
      <c r="A522" s="484"/>
      <c r="B522" s="484"/>
      <c r="D522" s="446"/>
      <c r="I522" s="490"/>
    </row>
    <row r="523" spans="1:9">
      <c r="C523" s="482"/>
      <c r="D523" s="1833" t="s">
        <v>792</v>
      </c>
      <c r="E523" s="1833"/>
      <c r="F523" s="1833"/>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2789</v>
      </c>
      <c r="C527" s="483"/>
      <c r="D527" s="1805" t="s">
        <v>2016</v>
      </c>
      <c r="E527" s="1805"/>
      <c r="F527" s="1805"/>
      <c r="I527" s="490"/>
    </row>
    <row r="528" spans="1:9">
      <c r="A528" s="483"/>
      <c r="B528" s="483"/>
      <c r="C528" s="483"/>
      <c r="D528" s="1805"/>
      <c r="E528" s="1805"/>
      <c r="F528" s="1805"/>
      <c r="I528" s="490"/>
    </row>
    <row r="529" spans="1:9">
      <c r="A529" s="483"/>
      <c r="B529" s="483"/>
      <c r="C529" s="483"/>
      <c r="D529" s="451"/>
      <c r="E529" s="451"/>
      <c r="F529" s="451"/>
      <c r="I529" s="480"/>
    </row>
    <row r="530" spans="1:9" ht="12.75" customHeight="1">
      <c r="A530" s="483"/>
      <c r="B530" s="485" t="s">
        <v>2789</v>
      </c>
      <c r="D530" s="386" t="s">
        <v>1874</v>
      </c>
      <c r="E530" s="385"/>
      <c r="F530" s="385"/>
      <c r="I530" s="490"/>
    </row>
    <row r="531" spans="1:9">
      <c r="A531" s="483"/>
      <c r="B531" s="483"/>
      <c r="C531" s="483"/>
      <c r="D531" s="385"/>
      <c r="E531" s="96" t="s">
        <v>1875</v>
      </c>
      <c r="I531" s="490"/>
    </row>
    <row r="532" spans="1:9">
      <c r="A532" s="483"/>
      <c r="B532" s="483"/>
      <c r="D532" s="1820" t="s">
        <v>2017</v>
      </c>
      <c r="E532" s="1820"/>
      <c r="F532" s="1820"/>
      <c r="I532" s="490"/>
    </row>
    <row r="533" spans="1:9">
      <c r="A533" s="483"/>
      <c r="B533" s="483"/>
      <c r="D533" s="1820"/>
      <c r="E533" s="1820"/>
      <c r="F533" s="1820"/>
      <c r="I533" s="490"/>
    </row>
    <row r="534" spans="1:9">
      <c r="A534" s="483"/>
      <c r="B534" s="483"/>
      <c r="C534" s="483"/>
      <c r="D534" s="1820"/>
      <c r="E534" s="1820"/>
      <c r="F534" s="1820"/>
      <c r="I534" s="490"/>
    </row>
    <row r="535" spans="1:9">
      <c r="A535" s="483"/>
      <c r="B535" s="483"/>
      <c r="C535" s="483"/>
      <c r="D535" s="498"/>
      <c r="F535" s="446"/>
      <c r="I535" s="490"/>
    </row>
    <row r="536" spans="1:9" ht="13.15" customHeight="1">
      <c r="A536" s="483"/>
      <c r="B536" s="485" t="s">
        <v>2790</v>
      </c>
      <c r="C536" s="483"/>
      <c r="D536" s="1824" t="s">
        <v>2629</v>
      </c>
      <c r="E536" s="1824"/>
      <c r="F536" s="1824"/>
      <c r="I536" s="490"/>
    </row>
    <row r="537" spans="1:9" ht="13.15" customHeight="1">
      <c r="A537" s="483"/>
      <c r="B537" s="483"/>
      <c r="C537" s="483"/>
      <c r="D537" s="1824"/>
      <c r="E537" s="1824"/>
      <c r="F537" s="1824"/>
      <c r="I537" s="490"/>
    </row>
    <row r="538" spans="1:9">
      <c r="A538" s="483"/>
      <c r="B538" s="483"/>
      <c r="C538" s="483"/>
      <c r="D538" s="1824"/>
      <c r="E538" s="1824"/>
      <c r="F538" s="1824"/>
      <c r="I538" s="490"/>
    </row>
    <row r="539" spans="1:9" ht="12" customHeight="1">
      <c r="A539" s="446"/>
      <c r="B539" s="446"/>
      <c r="C539" s="487"/>
      <c r="D539" s="446"/>
      <c r="F539" s="448"/>
      <c r="I539" s="490"/>
    </row>
    <row r="540" spans="1:9">
      <c r="A540" s="1827" t="s">
        <v>1050</v>
      </c>
      <c r="B540" s="1827"/>
      <c r="C540" s="1827"/>
      <c r="D540" s="1827"/>
      <c r="E540" s="1827"/>
      <c r="F540" s="1827"/>
      <c r="G540" s="1827"/>
      <c r="H540" s="1023"/>
      <c r="I540" s="1147"/>
    </row>
    <row r="541" spans="1:9">
      <c r="A541" s="446"/>
      <c r="B541" s="446"/>
      <c r="C541" s="487"/>
      <c r="F541" s="448"/>
      <c r="I541" s="490"/>
    </row>
    <row r="542" spans="1:9">
      <c r="B542" s="1831" t="s">
        <v>445</v>
      </c>
      <c r="C542" s="1831"/>
      <c r="D542" s="1831"/>
      <c r="E542" s="1831"/>
      <c r="F542" s="1831"/>
      <c r="I542" s="490"/>
    </row>
    <row r="543" spans="1:9">
      <c r="A543" s="446"/>
      <c r="B543" s="446"/>
      <c r="C543" s="487"/>
      <c r="D543" s="446"/>
      <c r="F543" s="446"/>
      <c r="I543" s="490"/>
    </row>
    <row r="544" spans="1:9">
      <c r="A544" s="1832" t="s">
        <v>1051</v>
      </c>
      <c r="B544" s="1832"/>
      <c r="C544" s="1832"/>
      <c r="D544" s="1832"/>
      <c r="E544" s="1832"/>
      <c r="F544" s="1832"/>
      <c r="G544" s="1832"/>
      <c r="H544" s="1023"/>
      <c r="I544" s="1147"/>
    </row>
    <row r="545" spans="1:9">
      <c r="A545" s="446"/>
      <c r="B545" s="446"/>
      <c r="C545" s="487"/>
      <c r="D545" s="446"/>
      <c r="F545" s="446"/>
      <c r="I545" s="490"/>
    </row>
    <row r="546" spans="1:9">
      <c r="C546" s="487"/>
      <c r="D546" s="1833" t="s">
        <v>682</v>
      </c>
      <c r="E546" s="1833"/>
      <c r="F546" s="1833"/>
      <c r="I546" s="490"/>
    </row>
    <row r="547" spans="1:9">
      <c r="C547" s="487"/>
      <c r="D547" s="1825" t="s">
        <v>1079</v>
      </c>
      <c r="E547" s="1825"/>
      <c r="F547" s="1825"/>
      <c r="I547" s="490"/>
    </row>
    <row r="548" spans="1:9">
      <c r="C548" s="487"/>
      <c r="D548" s="446"/>
      <c r="E548" s="446"/>
      <c r="F548" s="446"/>
      <c r="I548" s="490"/>
    </row>
    <row r="549" spans="1:9" ht="13.7" customHeight="1">
      <c r="A549" s="484"/>
      <c r="B549" s="485" t="s">
        <v>2789</v>
      </c>
      <c r="C549" s="487"/>
      <c r="D549" s="1825" t="s">
        <v>882</v>
      </c>
      <c r="E549" s="1825"/>
      <c r="F549" s="1825"/>
      <c r="I549" s="490"/>
    </row>
    <row r="550" spans="1:9" ht="13.7" customHeight="1">
      <c r="A550" s="487"/>
      <c r="B550" s="487"/>
      <c r="C550" s="487"/>
      <c r="D550" s="446"/>
      <c r="I550" s="490"/>
    </row>
    <row r="551" spans="1:9" ht="14.25">
      <c r="A551" s="484"/>
      <c r="B551" s="485" t="s">
        <v>2789</v>
      </c>
      <c r="C551" s="487"/>
      <c r="D551" s="1824" t="s">
        <v>1080</v>
      </c>
      <c r="E551" s="1824"/>
      <c r="F551" s="1824"/>
      <c r="I551" s="490"/>
    </row>
    <row r="552" spans="1:9">
      <c r="A552" s="487"/>
      <c r="B552" s="487"/>
      <c r="C552" s="487"/>
      <c r="D552" s="1824"/>
      <c r="E552" s="1824"/>
      <c r="F552" s="1824"/>
      <c r="I552" s="490"/>
    </row>
    <row r="553" spans="1:9">
      <c r="A553" s="487"/>
      <c r="B553" s="487"/>
      <c r="C553" s="487"/>
      <c r="D553" s="446"/>
      <c r="E553" s="446"/>
      <c r="F553" s="446"/>
      <c r="I553" s="490"/>
    </row>
    <row r="554" spans="1:9" ht="14.25">
      <c r="A554" s="484"/>
      <c r="B554" s="485" t="s">
        <v>2789</v>
      </c>
      <c r="C554" s="487"/>
      <c r="D554" s="1824" t="s">
        <v>1081</v>
      </c>
      <c r="E554" s="1824"/>
      <c r="F554" s="1824"/>
      <c r="I554" s="490"/>
    </row>
    <row r="555" spans="1:9">
      <c r="A555" s="487"/>
      <c r="B555" s="487"/>
      <c r="C555" s="487"/>
      <c r="D555" s="1824"/>
      <c r="E555" s="1824"/>
      <c r="F555" s="1824"/>
      <c r="I555" s="490"/>
    </row>
    <row r="556" spans="1:9">
      <c r="A556" s="487"/>
      <c r="B556" s="487"/>
      <c r="C556" s="487"/>
      <c r="D556" s="446"/>
      <c r="E556" s="446"/>
      <c r="F556" s="446"/>
      <c r="I556" s="490"/>
    </row>
    <row r="557" spans="1:9" ht="14.25">
      <c r="A557" s="484"/>
      <c r="B557" s="485" t="s">
        <v>2789</v>
      </c>
      <c r="C557" s="487"/>
      <c r="D557" s="1824" t="s">
        <v>1082</v>
      </c>
      <c r="E557" s="1824"/>
      <c r="F557" s="1824"/>
      <c r="I557" s="490"/>
    </row>
    <row r="558" spans="1:9">
      <c r="A558" s="487"/>
      <c r="B558" s="487"/>
      <c r="C558" s="487"/>
      <c r="D558" s="1824"/>
      <c r="E558" s="1824"/>
      <c r="F558" s="1824"/>
      <c r="I558" s="490"/>
    </row>
    <row r="559" spans="1:9">
      <c r="A559" s="487"/>
      <c r="B559" s="487"/>
      <c r="C559" s="487"/>
      <c r="D559" s="446"/>
      <c r="E559" s="446"/>
      <c r="F559" s="446"/>
      <c r="I559" s="490"/>
    </row>
    <row r="560" spans="1:9" ht="14.25">
      <c r="A560" s="484"/>
      <c r="B560" s="485" t="s">
        <v>2789</v>
      </c>
      <c r="C560" s="487"/>
      <c r="D560" s="1824" t="s">
        <v>1083</v>
      </c>
      <c r="E560" s="1824"/>
      <c r="F560" s="1824"/>
      <c r="I560" s="490"/>
    </row>
    <row r="561" spans="1:9">
      <c r="A561" s="487"/>
      <c r="B561" s="487"/>
      <c r="C561" s="487"/>
      <c r="D561" s="1824"/>
      <c r="E561" s="1824"/>
      <c r="F561" s="1824"/>
      <c r="I561" s="490"/>
    </row>
    <row r="562" spans="1:9">
      <c r="A562" s="487"/>
      <c r="B562" s="487"/>
      <c r="C562" s="487"/>
      <c r="D562" s="1824"/>
      <c r="E562" s="1824"/>
      <c r="F562" s="1824"/>
      <c r="I562" s="490"/>
    </row>
    <row r="563" spans="1:9">
      <c r="A563" s="487"/>
      <c r="B563" s="487"/>
      <c r="C563" s="487"/>
      <c r="D563" s="446"/>
      <c r="E563" s="446"/>
      <c r="F563" s="446"/>
      <c r="I563" s="490"/>
    </row>
    <row r="564" spans="1:9" ht="14.25">
      <c r="A564" s="484"/>
      <c r="B564" s="485" t="s">
        <v>2790</v>
      </c>
      <c r="C564" s="487"/>
      <c r="D564" s="1824" t="s">
        <v>2197</v>
      </c>
      <c r="E564" s="1824"/>
      <c r="F564" s="1824"/>
      <c r="I564" s="490"/>
    </row>
    <row r="565" spans="1:9">
      <c r="A565" s="487"/>
      <c r="B565" s="487"/>
      <c r="C565" s="487"/>
      <c r="D565" s="1824"/>
      <c r="E565" s="1824"/>
      <c r="F565" s="1824"/>
      <c r="I565" s="490"/>
    </row>
    <row r="566" spans="1:9">
      <c r="A566" s="487"/>
      <c r="B566" s="487"/>
      <c r="C566" s="487"/>
      <c r="D566" s="446"/>
      <c r="E566" s="446"/>
      <c r="F566" s="446"/>
      <c r="I566" s="490"/>
    </row>
    <row r="567" spans="1:9" ht="14.25">
      <c r="A567" s="484"/>
      <c r="B567" s="485" t="s">
        <v>2790</v>
      </c>
      <c r="C567" s="487"/>
      <c r="D567" s="1824" t="s">
        <v>1084</v>
      </c>
      <c r="E567" s="1824"/>
      <c r="F567" s="1824"/>
      <c r="I567" s="490"/>
    </row>
    <row r="568" spans="1:9">
      <c r="A568" s="487"/>
      <c r="B568" s="487"/>
      <c r="C568" s="487"/>
      <c r="D568" s="1824"/>
      <c r="E568" s="1824"/>
      <c r="F568" s="1824"/>
      <c r="I568" s="490"/>
    </row>
    <row r="569" spans="1:9">
      <c r="A569" s="487"/>
      <c r="B569" s="487"/>
      <c r="C569" s="487"/>
      <c r="D569" s="446"/>
      <c r="E569" s="446"/>
      <c r="F569" s="446"/>
      <c r="I569" s="490"/>
    </row>
    <row r="570" spans="1:9" ht="14.25">
      <c r="A570" s="484"/>
      <c r="B570" s="485" t="s">
        <v>2789</v>
      </c>
      <c r="C570" s="487"/>
      <c r="D570" s="1825" t="s">
        <v>1085</v>
      </c>
      <c r="E570" s="1825"/>
      <c r="F570" s="1825"/>
      <c r="I570" s="490"/>
    </row>
    <row r="571" spans="1:9">
      <c r="A571" s="490"/>
      <c r="B571" s="490"/>
      <c r="C571" s="487"/>
      <c r="D571" s="1825" t="s">
        <v>1877</v>
      </c>
      <c r="E571" s="1825"/>
      <c r="F571" s="1825"/>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2789</v>
      </c>
      <c r="C574" s="487"/>
      <c r="D574" s="1825" t="s">
        <v>1086</v>
      </c>
      <c r="E574" s="1825"/>
      <c r="F574" s="1825"/>
      <c r="I574" s="490"/>
    </row>
    <row r="575" spans="1:9">
      <c r="C575" s="487"/>
      <c r="D575" s="1824" t="s">
        <v>1087</v>
      </c>
      <c r="E575" s="1824"/>
      <c r="F575" s="1824"/>
      <c r="I575" s="490"/>
    </row>
    <row r="576" spans="1:9">
      <c r="A576" s="487"/>
      <c r="B576" s="487"/>
      <c r="C576" s="487"/>
      <c r="D576" s="1824"/>
      <c r="E576" s="1824"/>
      <c r="F576" s="1824"/>
      <c r="I576" s="490"/>
    </row>
    <row r="577" spans="1:9">
      <c r="A577" s="487"/>
      <c r="B577" s="487"/>
      <c r="C577" s="487"/>
      <c r="D577" s="1824"/>
      <c r="E577" s="1824"/>
      <c r="F577" s="1824"/>
      <c r="I577" s="490"/>
    </row>
    <row r="578" spans="1:9">
      <c r="A578" s="487"/>
      <c r="B578" s="487"/>
      <c r="C578" s="487"/>
      <c r="D578" s="446"/>
      <c r="E578" s="446"/>
      <c r="F578" s="446"/>
      <c r="I578" s="490"/>
    </row>
    <row r="579" spans="1:9" ht="14.25">
      <c r="A579" s="484"/>
      <c r="B579" s="485" t="s">
        <v>2789</v>
      </c>
      <c r="C579" s="487"/>
      <c r="D579" s="1824" t="s">
        <v>2018</v>
      </c>
      <c r="E579" s="1824"/>
      <c r="F579" s="1824"/>
      <c r="I579" s="490"/>
    </row>
    <row r="580" spans="1:9" ht="14.25">
      <c r="A580" s="484"/>
      <c r="B580" s="484"/>
      <c r="C580" s="487"/>
      <c r="D580" s="1824"/>
      <c r="E580" s="1824"/>
      <c r="F580" s="1824"/>
      <c r="I580" s="490"/>
    </row>
    <row r="581" spans="1:9" ht="14.25">
      <c r="A581" s="484"/>
      <c r="B581" s="484"/>
      <c r="C581" s="487"/>
      <c r="D581" s="1824"/>
      <c r="E581" s="1824"/>
      <c r="F581" s="1824"/>
      <c r="I581" s="490"/>
    </row>
    <row r="582" spans="1:9" ht="14.25">
      <c r="A582" s="484"/>
      <c r="B582" s="484"/>
      <c r="C582" s="487"/>
      <c r="D582" s="1824"/>
      <c r="E582" s="1824"/>
      <c r="F582" s="1824"/>
      <c r="I582" s="490"/>
    </row>
    <row r="583" spans="1:9" ht="14.25">
      <c r="A583" s="484"/>
      <c r="B583" s="484"/>
      <c r="C583" s="487"/>
      <c r="D583" s="446"/>
      <c r="E583" s="446"/>
      <c r="F583" s="446"/>
      <c r="I583" s="490"/>
    </row>
    <row r="584" spans="1:9">
      <c r="A584" s="1827" t="s">
        <v>1052</v>
      </c>
      <c r="B584" s="1827"/>
      <c r="C584" s="1827"/>
      <c r="D584" s="1827"/>
      <c r="E584" s="1827"/>
      <c r="F584" s="1827"/>
      <c r="G584" s="1827"/>
      <c r="H584" s="1023"/>
      <c r="I584" s="1147"/>
    </row>
    <row r="585" spans="1:9">
      <c r="A585" s="487"/>
      <c r="B585" s="487"/>
      <c r="C585" s="487"/>
      <c r="E585" s="446"/>
      <c r="F585" s="446"/>
      <c r="I585" s="490"/>
    </row>
    <row r="586" spans="1:9" ht="12.75" customHeight="1">
      <c r="C586" s="482"/>
      <c r="D586" s="1826" t="s">
        <v>210</v>
      </c>
      <c r="E586" s="1826"/>
      <c r="F586" s="1826"/>
      <c r="I586" s="490"/>
    </row>
    <row r="587" spans="1:9">
      <c r="A587" s="483"/>
      <c r="B587" s="483"/>
      <c r="C587" s="483"/>
      <c r="D587" s="1828" t="s">
        <v>1065</v>
      </c>
      <c r="E587" s="1828"/>
      <c r="F587" s="1828"/>
      <c r="I587" s="490"/>
    </row>
    <row r="588" spans="1:9">
      <c r="A588" s="402"/>
      <c r="B588" s="402"/>
      <c r="C588" s="483"/>
      <c r="D588" s="499"/>
      <c r="I588" s="490"/>
    </row>
    <row r="589" spans="1:9">
      <c r="A589" s="483"/>
      <c r="B589" s="485" t="s">
        <v>2789</v>
      </c>
      <c r="D589" s="1828" t="s">
        <v>886</v>
      </c>
      <c r="E589" s="1828"/>
      <c r="F589" s="1828"/>
      <c r="I589" s="490"/>
    </row>
    <row r="590" spans="1:9">
      <c r="A590" s="490"/>
      <c r="B590" s="490"/>
      <c r="D590" s="476"/>
      <c r="I590" s="490"/>
    </row>
    <row r="591" spans="1:9">
      <c r="A591" s="490"/>
      <c r="B591" s="485" t="s">
        <v>2789</v>
      </c>
      <c r="D591" s="1828" t="s">
        <v>2019</v>
      </c>
      <c r="E591" s="1828"/>
      <c r="F591" s="1828"/>
      <c r="I591" s="490"/>
    </row>
    <row r="592" spans="1:9">
      <c r="A592" s="490"/>
      <c r="B592" s="490"/>
      <c r="D592" s="1828"/>
      <c r="E592" s="1828"/>
      <c r="F592" s="1828"/>
      <c r="I592" s="490"/>
    </row>
    <row r="593" spans="1:9">
      <c r="A593" s="490"/>
      <c r="B593" s="490"/>
      <c r="D593" s="1828"/>
      <c r="E593" s="1828"/>
      <c r="F593" s="1828"/>
      <c r="I593" s="490"/>
    </row>
    <row r="594" spans="1:9">
      <c r="A594" s="490"/>
      <c r="B594" s="490"/>
      <c r="D594" s="1828"/>
      <c r="E594" s="1828"/>
      <c r="F594" s="1828"/>
      <c r="I594" s="490"/>
    </row>
    <row r="595" spans="1:9">
      <c r="A595" s="490"/>
      <c r="B595" s="485" t="s">
        <v>2790</v>
      </c>
      <c r="D595" s="1828" t="s">
        <v>1066</v>
      </c>
      <c r="E595" s="1828"/>
      <c r="F595" s="1828"/>
      <c r="I595" s="490"/>
    </row>
    <row r="596" spans="1:9">
      <c r="A596" s="490"/>
      <c r="B596" s="490"/>
      <c r="D596" s="1828"/>
      <c r="E596" s="1828"/>
      <c r="F596" s="1828"/>
      <c r="I596" s="490"/>
    </row>
    <row r="597" spans="1:9">
      <c r="A597" s="490"/>
      <c r="B597" s="490"/>
      <c r="D597" s="1828"/>
      <c r="E597" s="1828"/>
      <c r="F597" s="1828"/>
      <c r="I597" s="490"/>
    </row>
    <row r="598" spans="1:9">
      <c r="A598" s="490"/>
      <c r="B598" s="490"/>
      <c r="D598" s="1828"/>
      <c r="E598" s="1828"/>
      <c r="F598" s="1828"/>
      <c r="I598" s="490"/>
    </row>
    <row r="599" spans="1:9">
      <c r="A599" s="490"/>
      <c r="B599" s="490"/>
      <c r="D599" s="440"/>
      <c r="E599" s="440"/>
      <c r="F599" s="440"/>
      <c r="I599" s="490"/>
    </row>
    <row r="600" spans="1:9">
      <c r="A600" s="490"/>
      <c r="B600" s="485" t="s">
        <v>2789</v>
      </c>
      <c r="D600" s="1828" t="s">
        <v>2020</v>
      </c>
      <c r="E600" s="1828"/>
      <c r="F600" s="1828"/>
      <c r="I600" s="490"/>
    </row>
    <row r="601" spans="1:9">
      <c r="A601" s="490"/>
      <c r="B601" s="490"/>
      <c r="D601" s="1828"/>
      <c r="E601" s="1828"/>
      <c r="F601" s="1828"/>
      <c r="I601" s="490"/>
    </row>
    <row r="602" spans="1:9">
      <c r="A602" s="490"/>
      <c r="B602" s="490"/>
      <c r="D602" s="499"/>
      <c r="I602" s="490"/>
    </row>
    <row r="603" spans="1:9">
      <c r="A603" s="490"/>
      <c r="B603" s="485" t="s">
        <v>2790</v>
      </c>
      <c r="D603" s="1828" t="s">
        <v>1067</v>
      </c>
      <c r="E603" s="1828"/>
      <c r="F603" s="1828"/>
      <c r="I603" s="490"/>
    </row>
    <row r="604" spans="1:9">
      <c r="A604" s="490"/>
      <c r="B604" s="490"/>
      <c r="D604" s="1828"/>
      <c r="E604" s="1828"/>
      <c r="F604" s="1828"/>
      <c r="I604" s="490"/>
    </row>
    <row r="605" spans="1:9" ht="14.25">
      <c r="A605" s="484"/>
      <c r="B605" s="484"/>
      <c r="D605" s="499"/>
      <c r="I605" s="490"/>
    </row>
    <row r="606" spans="1:9">
      <c r="A606" s="1827" t="s">
        <v>1053</v>
      </c>
      <c r="B606" s="1827"/>
      <c r="C606" s="1827"/>
      <c r="D606" s="1827"/>
      <c r="E606" s="1827"/>
      <c r="F606" s="1827"/>
      <c r="G606" s="1827"/>
      <c r="H606" s="1023"/>
      <c r="I606" s="1147"/>
    </row>
    <row r="607" spans="1:9">
      <c r="I607" s="490"/>
    </row>
    <row r="608" spans="1:9">
      <c r="D608" s="1833" t="s">
        <v>1105</v>
      </c>
      <c r="E608" s="1833"/>
      <c r="F608" s="1833"/>
      <c r="I608" s="490"/>
    </row>
    <row r="609" spans="1:9">
      <c r="D609" s="1834" t="s">
        <v>1106</v>
      </c>
      <c r="E609" s="1834"/>
      <c r="F609" s="1834"/>
      <c r="I609" s="490"/>
    </row>
    <row r="610" spans="1:9">
      <c r="D610" s="444"/>
      <c r="I610" s="490"/>
    </row>
    <row r="611" spans="1:9" ht="14.25" customHeight="1">
      <c r="A611" s="484"/>
      <c r="B611" s="485" t="s">
        <v>2789</v>
      </c>
      <c r="D611" s="1851" t="s">
        <v>1878</v>
      </c>
      <c r="E611" s="1851"/>
      <c r="F611" s="1851"/>
      <c r="I611" s="490"/>
    </row>
    <row r="612" spans="1:9">
      <c r="D612" s="1851"/>
      <c r="E612" s="1851"/>
      <c r="F612" s="1851"/>
      <c r="I612" s="490"/>
    </row>
    <row r="613" spans="1:9">
      <c r="D613" s="385"/>
      <c r="E613" s="1031" t="s">
        <v>1879</v>
      </c>
      <c r="F613" s="385"/>
      <c r="I613" s="490"/>
    </row>
    <row r="614" spans="1:9">
      <c r="I614" s="490"/>
    </row>
    <row r="615" spans="1:9">
      <c r="A615" s="1827" t="s">
        <v>1054</v>
      </c>
      <c r="B615" s="1827"/>
      <c r="C615" s="1827"/>
      <c r="D615" s="1827"/>
      <c r="E615" s="1827"/>
      <c r="F615" s="1827"/>
      <c r="G615" s="1827"/>
      <c r="H615" s="1023"/>
      <c r="I615" s="1147"/>
    </row>
    <row r="616" spans="1:9">
      <c r="A616" s="446"/>
      <c r="B616" s="446"/>
      <c r="I616" s="490"/>
    </row>
    <row r="617" spans="1:9">
      <c r="A617" s="482"/>
      <c r="B617" s="482"/>
      <c r="C617" s="482"/>
      <c r="D617" s="1858" t="s">
        <v>1107</v>
      </c>
      <c r="E617" s="1858"/>
      <c r="F617" s="1858"/>
      <c r="I617" s="490"/>
    </row>
    <row r="618" spans="1:9">
      <c r="A618" s="482"/>
      <c r="B618" s="482"/>
      <c r="C618" s="482"/>
      <c r="D618" s="1858"/>
      <c r="E618" s="1858"/>
      <c r="F618" s="1858"/>
      <c r="I618" s="490"/>
    </row>
    <row r="619" spans="1:9">
      <c r="C619" s="483"/>
      <c r="D619" s="1834" t="s">
        <v>1108</v>
      </c>
      <c r="E619" s="1834"/>
      <c r="F619" s="1834"/>
      <c r="I619" s="490"/>
    </row>
    <row r="620" spans="1:9">
      <c r="C620" s="483"/>
      <c r="D620" s="444"/>
      <c r="E620" s="444"/>
      <c r="F620" s="444"/>
      <c r="I620" s="490"/>
    </row>
    <row r="621" spans="1:9">
      <c r="B621" s="485" t="s">
        <v>2789</v>
      </c>
      <c r="C621" s="483"/>
      <c r="D621" s="1840" t="s">
        <v>2596</v>
      </c>
      <c r="E621" s="1840"/>
      <c r="F621" s="1840"/>
      <c r="I621" s="490"/>
    </row>
    <row r="622" spans="1:9">
      <c r="C622" s="483"/>
      <c r="D622" s="444"/>
      <c r="E622" s="444"/>
      <c r="F622" s="444"/>
      <c r="I622" s="490"/>
    </row>
    <row r="623" spans="1:9" ht="12.75" customHeight="1">
      <c r="A623" s="490"/>
      <c r="B623" s="485" t="s">
        <v>2789</v>
      </c>
      <c r="D623" s="1835" t="s">
        <v>1109</v>
      </c>
      <c r="E623" s="1835"/>
      <c r="F623" s="1835"/>
      <c r="I623" s="490"/>
    </row>
    <row r="624" spans="1:9">
      <c r="D624" s="1835"/>
      <c r="E624" s="1835"/>
      <c r="F624" s="1835"/>
      <c r="I624" s="490"/>
    </row>
    <row r="625" spans="1:9">
      <c r="I625" s="490"/>
    </row>
    <row r="626" spans="1:9">
      <c r="B626" s="485" t="s">
        <v>2789</v>
      </c>
      <c r="D626" s="1835" t="s">
        <v>1110</v>
      </c>
      <c r="E626" s="1835"/>
      <c r="F626" s="1835"/>
      <c r="I626" s="490"/>
    </row>
    <row r="627" spans="1:9">
      <c r="C627" s="500"/>
      <c r="D627" s="1835"/>
      <c r="E627" s="1835"/>
      <c r="F627" s="1835"/>
      <c r="I627" s="490"/>
    </row>
    <row r="628" spans="1:9">
      <c r="C628" s="500"/>
      <c r="I628" s="490"/>
    </row>
    <row r="629" spans="1:9">
      <c r="B629" s="485" t="s">
        <v>2790</v>
      </c>
      <c r="C629" s="500"/>
      <c r="D629" s="1835" t="s">
        <v>1111</v>
      </c>
      <c r="E629" s="1835"/>
      <c r="F629" s="1835"/>
      <c r="I629" s="490"/>
    </row>
    <row r="630" spans="1:9">
      <c r="C630" s="500"/>
      <c r="D630" s="1835"/>
      <c r="E630" s="1835"/>
      <c r="F630" s="1835"/>
      <c r="I630" s="500"/>
    </row>
    <row r="631" spans="1:9">
      <c r="C631" s="500"/>
      <c r="I631" s="490"/>
    </row>
    <row r="632" spans="1:9">
      <c r="B632" s="485" t="s">
        <v>2790</v>
      </c>
      <c r="C632" s="500"/>
      <c r="D632" s="1840" t="s">
        <v>2545</v>
      </c>
      <c r="E632" s="1840"/>
      <c r="F632" s="1840"/>
      <c r="I632" s="490"/>
    </row>
    <row r="633" spans="1:9">
      <c r="C633" s="500"/>
      <c r="I633" s="490"/>
    </row>
    <row r="634" spans="1:9">
      <c r="A634" s="1827" t="s">
        <v>1055</v>
      </c>
      <c r="B634" s="1827"/>
      <c r="C634" s="1827"/>
      <c r="D634" s="1827"/>
      <c r="E634" s="1827"/>
      <c r="F634" s="1827"/>
      <c r="G634" s="1827"/>
      <c r="H634" s="1023"/>
      <c r="I634" s="1147"/>
    </row>
    <row r="635" spans="1:9">
      <c r="A635" s="482"/>
      <c r="B635" s="482"/>
      <c r="C635" s="482"/>
      <c r="I635" s="490"/>
    </row>
    <row r="636" spans="1:9">
      <c r="C636" s="490"/>
      <c r="D636" s="1833" t="s">
        <v>1112</v>
      </c>
      <c r="E636" s="1833"/>
      <c r="F636" s="1833"/>
      <c r="I636" s="490"/>
    </row>
    <row r="637" spans="1:9">
      <c r="A637" s="490"/>
      <c r="B637" s="490"/>
      <c r="D637" s="404"/>
      <c r="I637" s="490"/>
    </row>
    <row r="638" spans="1:9" ht="14.25" customHeight="1">
      <c r="A638" s="484"/>
      <c r="B638" s="485" t="s">
        <v>2789</v>
      </c>
      <c r="D638" s="1851" t="s">
        <v>2021</v>
      </c>
      <c r="E638" s="1851"/>
      <c r="F638" s="1851"/>
      <c r="I638" s="490"/>
    </row>
    <row r="639" spans="1:9">
      <c r="D639" s="1851"/>
      <c r="E639" s="1851"/>
      <c r="F639" s="1851"/>
      <c r="I639" s="490"/>
    </row>
    <row r="640" spans="1:9">
      <c r="D640" s="385"/>
      <c r="E640" s="1031" t="s">
        <v>1881</v>
      </c>
      <c r="F640" s="385"/>
      <c r="I640" s="490"/>
    </row>
    <row r="641" spans="1:9">
      <c r="D641" s="1824" t="s">
        <v>1880</v>
      </c>
      <c r="E641" s="1824"/>
      <c r="F641" s="1824"/>
      <c r="I641" s="490"/>
    </row>
    <row r="642" spans="1:9">
      <c r="D642" s="1824"/>
      <c r="E642" s="1824"/>
      <c r="F642" s="1824"/>
      <c r="I642" s="490"/>
    </row>
    <row r="643" spans="1:9">
      <c r="D643" s="1824"/>
      <c r="E643" s="1824"/>
      <c r="F643" s="1824"/>
      <c r="I643" s="490"/>
    </row>
    <row r="644" spans="1:9">
      <c r="D644" s="445"/>
      <c r="E644" s="445"/>
      <c r="F644" s="445"/>
      <c r="I644" s="490"/>
    </row>
    <row r="645" spans="1:9" ht="14.25">
      <c r="A645" s="484"/>
      <c r="B645" s="485" t="s">
        <v>2790</v>
      </c>
      <c r="D645" s="1824" t="s">
        <v>1113</v>
      </c>
      <c r="E645" s="1824"/>
      <c r="F645" s="1824"/>
      <c r="I645" s="490"/>
    </row>
    <row r="646" spans="1:9">
      <c r="A646" s="487"/>
      <c r="B646" s="487"/>
      <c r="C646" s="487"/>
      <c r="D646" s="1824"/>
      <c r="E646" s="1824"/>
      <c r="F646" s="1824"/>
      <c r="I646" s="490"/>
    </row>
    <row r="647" spans="1:9">
      <c r="A647" s="487"/>
      <c r="B647" s="487"/>
      <c r="C647" s="487"/>
      <c r="D647" s="446"/>
      <c r="E647" s="446"/>
      <c r="F647" s="446"/>
      <c r="I647" s="490"/>
    </row>
    <row r="648" spans="1:9" ht="14.25">
      <c r="A648" s="484"/>
      <c r="B648" s="485" t="s">
        <v>2790</v>
      </c>
      <c r="C648" s="487"/>
      <c r="D648" s="1824" t="s">
        <v>1223</v>
      </c>
      <c r="E648" s="1824"/>
      <c r="F648" s="1824"/>
      <c r="I648" s="490"/>
    </row>
    <row r="649" spans="1:9" ht="14.25">
      <c r="A649" s="484"/>
      <c r="B649" s="484"/>
      <c r="C649" s="487"/>
      <c r="D649" s="1824"/>
      <c r="E649" s="1824"/>
      <c r="F649" s="1824"/>
      <c r="I649" s="490"/>
    </row>
    <row r="650" spans="1:9" ht="14.25">
      <c r="A650" s="484"/>
      <c r="B650" s="484"/>
      <c r="C650" s="487"/>
      <c r="D650" s="1824"/>
      <c r="E650" s="1824"/>
      <c r="F650" s="1824"/>
      <c r="I650" s="490"/>
    </row>
    <row r="651" spans="1:9">
      <c r="A651" s="487"/>
      <c r="B651" s="485" t="s">
        <v>2790</v>
      </c>
      <c r="C651" s="487"/>
      <c r="D651" s="1825" t="s">
        <v>1114</v>
      </c>
      <c r="E651" s="1825"/>
      <c r="F651" s="1825"/>
      <c r="I651" s="490"/>
    </row>
    <row r="652" spans="1:9">
      <c r="A652" s="487"/>
      <c r="B652" s="487"/>
      <c r="C652" s="487"/>
      <c r="D652" s="446"/>
      <c r="E652" s="446"/>
      <c r="F652" s="446"/>
      <c r="I652" s="490"/>
    </row>
    <row r="653" spans="1:9">
      <c r="A653" s="1827" t="s">
        <v>1056</v>
      </c>
      <c r="B653" s="1827"/>
      <c r="C653" s="1827"/>
      <c r="D653" s="1827"/>
      <c r="E653" s="1827"/>
      <c r="F653" s="1827"/>
      <c r="G653" s="1827"/>
      <c r="H653" s="1023"/>
      <c r="I653" s="1147"/>
    </row>
    <row r="654" spans="1:9">
      <c r="A654" s="446"/>
      <c r="B654" s="446"/>
      <c r="C654" s="487"/>
      <c r="D654" s="446"/>
      <c r="E654" s="446"/>
      <c r="F654" s="446"/>
      <c r="I654" s="490"/>
    </row>
    <row r="655" spans="1:9">
      <c r="C655" s="482"/>
      <c r="D655" s="1833" t="s">
        <v>1144</v>
      </c>
      <c r="E655" s="1833"/>
      <c r="F655" s="1833"/>
      <c r="I655" s="490"/>
    </row>
    <row r="656" spans="1:9">
      <c r="A656" s="483"/>
      <c r="B656" s="483"/>
      <c r="C656" s="483"/>
      <c r="D656" s="1825" t="s">
        <v>1145</v>
      </c>
      <c r="E656" s="1825"/>
      <c r="F656" s="1825"/>
      <c r="I656" s="490"/>
    </row>
    <row r="657" spans="1:9">
      <c r="A657" s="483"/>
      <c r="B657" s="483"/>
      <c r="C657" s="483"/>
      <c r="D657" s="446"/>
      <c r="E657" s="446"/>
      <c r="F657" s="446"/>
      <c r="I657" s="490"/>
    </row>
    <row r="658" spans="1:9" ht="12.75" customHeight="1">
      <c r="B658" s="485" t="s">
        <v>2790</v>
      </c>
      <c r="C658" s="487"/>
      <c r="D658" s="1824" t="s">
        <v>1279</v>
      </c>
      <c r="E658" s="1824"/>
      <c r="F658" s="1824"/>
      <c r="I658" s="490"/>
    </row>
    <row r="659" spans="1:9">
      <c r="D659" s="1824"/>
      <c r="E659" s="1824"/>
      <c r="F659" s="1824"/>
      <c r="I659" s="490"/>
    </row>
    <row r="660" spans="1:9">
      <c r="D660" s="1824"/>
      <c r="E660" s="1824"/>
      <c r="F660" s="1824"/>
      <c r="I660" s="490"/>
    </row>
    <row r="661" spans="1:9">
      <c r="D661" s="1824"/>
      <c r="E661" s="1824"/>
      <c r="F661" s="1824"/>
      <c r="I661" s="490"/>
    </row>
    <row r="662" spans="1:9" ht="14.45" customHeight="1">
      <c r="A662" s="484"/>
      <c r="B662" s="484"/>
      <c r="C662" s="487"/>
      <c r="D662" s="385"/>
      <c r="E662" s="385"/>
      <c r="F662" s="385"/>
      <c r="I662" s="490"/>
    </row>
    <row r="663" spans="1:9" ht="12.75" customHeight="1">
      <c r="A663" s="483"/>
      <c r="B663" s="485" t="s">
        <v>2790</v>
      </c>
      <c r="C663" s="487"/>
      <c r="D663" s="1824" t="s">
        <v>1281</v>
      </c>
      <c r="E663" s="1824"/>
      <c r="F663" s="1824"/>
      <c r="I663" s="490"/>
    </row>
    <row r="664" spans="1:9" ht="14.25">
      <c r="A664" s="483"/>
      <c r="B664" s="484"/>
      <c r="C664" s="487"/>
      <c r="D664" s="1824"/>
      <c r="E664" s="1824"/>
      <c r="F664" s="1824"/>
      <c r="I664" s="490"/>
    </row>
    <row r="665" spans="1:9" ht="14.25">
      <c r="A665" s="483"/>
      <c r="B665" s="484"/>
      <c r="C665" s="487"/>
      <c r="D665" s="1824"/>
      <c r="E665" s="1824"/>
      <c r="F665" s="1824"/>
      <c r="I665" s="490"/>
    </row>
    <row r="666" spans="1:9" ht="14.25">
      <c r="A666" s="483"/>
      <c r="B666" s="484"/>
      <c r="C666" s="487"/>
      <c r="D666" s="1824"/>
      <c r="E666" s="1824"/>
      <c r="F666" s="1824"/>
      <c r="I666" s="490"/>
    </row>
    <row r="667" spans="1:9" ht="14.25">
      <c r="A667" s="483"/>
      <c r="B667" s="484"/>
      <c r="C667" s="487"/>
      <c r="D667" s="1824"/>
      <c r="E667" s="1824"/>
      <c r="F667" s="1824"/>
      <c r="I667" s="490"/>
    </row>
    <row r="668" spans="1:9" ht="14.25" customHeight="1">
      <c r="A668" s="483"/>
      <c r="B668" s="484"/>
      <c r="C668" s="487"/>
      <c r="F668" s="386"/>
      <c r="I668" s="490"/>
    </row>
    <row r="669" spans="1:9" ht="12.75" customHeight="1">
      <c r="A669" s="483"/>
      <c r="B669" s="485" t="s">
        <v>2790</v>
      </c>
      <c r="C669" s="487"/>
      <c r="D669" s="1824" t="s">
        <v>1280</v>
      </c>
      <c r="E669" s="1824"/>
      <c r="F669" s="1824"/>
      <c r="I669" s="490"/>
    </row>
    <row r="670" spans="1:9" ht="14.25">
      <c r="A670" s="483"/>
      <c r="B670" s="484"/>
      <c r="C670" s="487"/>
      <c r="D670" s="1824"/>
      <c r="E670" s="1824"/>
      <c r="F670" s="1824"/>
      <c r="I670" s="490"/>
    </row>
    <row r="671" spans="1:9" ht="14.25">
      <c r="A671" s="484"/>
      <c r="B671" s="484"/>
      <c r="C671" s="487"/>
      <c r="D671" s="1824"/>
      <c r="E671" s="1824"/>
      <c r="F671" s="1824"/>
      <c r="I671" s="490"/>
    </row>
    <row r="672" spans="1:9" ht="14.25">
      <c r="A672" s="484"/>
      <c r="B672" s="484"/>
      <c r="C672" s="487"/>
      <c r="D672" s="1824"/>
      <c r="E672" s="1824"/>
      <c r="F672" s="1824"/>
      <c r="I672" s="490"/>
    </row>
    <row r="673" spans="1:11" ht="14.25">
      <c r="A673" s="484"/>
      <c r="B673" s="484"/>
      <c r="C673" s="487"/>
      <c r="D673" s="445"/>
      <c r="E673" s="445"/>
      <c r="F673" s="445"/>
      <c r="I673" s="490"/>
    </row>
    <row r="674" spans="1:11" ht="12.75" customHeight="1">
      <c r="A674" s="483"/>
      <c r="B674" s="485" t="s">
        <v>2790</v>
      </c>
      <c r="C674" s="487"/>
      <c r="D674" s="1824" t="s">
        <v>2022</v>
      </c>
      <c r="E674" s="1824"/>
      <c r="F674" s="1824"/>
      <c r="I674" s="490"/>
    </row>
    <row r="675" spans="1:11" ht="12.75" customHeight="1">
      <c r="A675" s="483"/>
      <c r="B675" s="484"/>
      <c r="C675" s="487"/>
      <c r="D675" s="1824"/>
      <c r="E675" s="1824"/>
      <c r="F675" s="1824"/>
      <c r="I675" s="490"/>
    </row>
    <row r="676" spans="1:11" ht="12.75" customHeight="1">
      <c r="A676" s="483"/>
      <c r="B676" s="484"/>
      <c r="C676" s="487"/>
      <c r="D676" s="1824"/>
      <c r="E676" s="1824"/>
      <c r="F676" s="1824"/>
      <c r="I676" s="490"/>
    </row>
    <row r="677" spans="1:11" ht="12.75" customHeight="1">
      <c r="A677" s="483"/>
      <c r="B677" s="484"/>
      <c r="C677" s="487"/>
      <c r="D677" s="1824"/>
      <c r="E677" s="1824"/>
      <c r="F677" s="1824"/>
      <c r="I677" s="490"/>
    </row>
    <row r="678" spans="1:11" ht="12.75" customHeight="1">
      <c r="A678" s="483"/>
      <c r="B678" s="484"/>
      <c r="C678" s="487"/>
      <c r="D678" s="1824"/>
      <c r="E678" s="1824"/>
      <c r="F678" s="1824"/>
      <c r="I678" s="490"/>
    </row>
    <row r="679" spans="1:11" ht="12.75" customHeight="1">
      <c r="A679" s="483"/>
      <c r="B679" s="484"/>
      <c r="C679" s="487"/>
      <c r="D679" s="1824"/>
      <c r="E679" s="1824"/>
      <c r="F679" s="1824"/>
      <c r="I679" s="490"/>
    </row>
    <row r="680" spans="1:11" ht="12.75" customHeight="1">
      <c r="A680" s="483"/>
      <c r="B680" s="484"/>
      <c r="C680" s="487"/>
      <c r="D680" s="1824"/>
      <c r="E680" s="1824"/>
      <c r="F680" s="1824"/>
      <c r="I680" s="490"/>
    </row>
    <row r="681" spans="1:11" ht="12.75" customHeight="1">
      <c r="A681" s="483"/>
      <c r="B681" s="484"/>
      <c r="C681" s="487"/>
      <c r="D681" s="1824"/>
      <c r="E681" s="1824"/>
      <c r="F681" s="1824"/>
      <c r="I681" s="490"/>
    </row>
    <row r="682" spans="1:11" ht="12.75" customHeight="1">
      <c r="A682" s="483"/>
      <c r="B682" s="484"/>
      <c r="C682" s="487"/>
      <c r="D682" s="1824"/>
      <c r="E682" s="1824"/>
      <c r="F682" s="1824"/>
      <c r="I682" s="490"/>
    </row>
    <row r="683" spans="1:11">
      <c r="A683" s="487"/>
      <c r="B683" s="487"/>
      <c r="C683" s="487"/>
      <c r="D683" s="446"/>
      <c r="E683" s="446"/>
      <c r="F683" s="446"/>
      <c r="I683" s="490"/>
    </row>
    <row r="684" spans="1:11">
      <c r="A684" s="1827" t="s">
        <v>1057</v>
      </c>
      <c r="B684" s="1827"/>
      <c r="C684" s="1827"/>
      <c r="D684" s="1827"/>
      <c r="E684" s="1827"/>
      <c r="F684" s="1827"/>
      <c r="G684" s="1827"/>
      <c r="H684" s="1025"/>
      <c r="I684" s="1151"/>
      <c r="J684" s="501"/>
      <c r="K684" s="501"/>
    </row>
    <row r="685" spans="1:11">
      <c r="A685" s="448"/>
      <c r="B685" s="448"/>
      <c r="C685" s="448"/>
      <c r="D685" s="448"/>
      <c r="E685" s="448"/>
      <c r="F685" s="448"/>
      <c r="G685" s="448"/>
      <c r="H685" s="501"/>
      <c r="I685" s="483"/>
      <c r="J685" s="501"/>
      <c r="K685" s="501"/>
    </row>
    <row r="686" spans="1:11">
      <c r="C686" s="482"/>
      <c r="D686" s="1833" t="s">
        <v>99</v>
      </c>
      <c r="E686" s="1833"/>
      <c r="F686" s="1833"/>
      <c r="H686" s="501"/>
      <c r="I686" s="483"/>
      <c r="J686" s="501"/>
      <c r="K686" s="501"/>
    </row>
    <row r="687" spans="1:11">
      <c r="A687" s="482"/>
      <c r="B687" s="482"/>
      <c r="C687" s="482"/>
      <c r="D687" s="1833" t="s">
        <v>123</v>
      </c>
      <c r="E687" s="1833"/>
      <c r="F687" s="1833"/>
      <c r="H687" s="501"/>
      <c r="I687" s="483"/>
      <c r="J687" s="501"/>
      <c r="K687" s="501"/>
    </row>
    <row r="688" spans="1:11">
      <c r="A688" s="483"/>
      <c r="B688" s="483"/>
      <c r="C688" s="483"/>
      <c r="D688" s="1825" t="s">
        <v>1074</v>
      </c>
      <c r="E688" s="1825"/>
      <c r="F688" s="1825"/>
      <c r="H688" s="501"/>
      <c r="I688" s="483"/>
      <c r="J688" s="501"/>
      <c r="K688" s="501"/>
    </row>
    <row r="689" spans="1:11">
      <c r="A689" s="483"/>
      <c r="B689" s="483"/>
      <c r="C689" s="483"/>
      <c r="H689" s="501"/>
      <c r="I689" s="483"/>
      <c r="J689" s="501"/>
      <c r="K689" s="501"/>
    </row>
    <row r="690" spans="1:11" ht="14.25">
      <c r="A690" s="484"/>
      <c r="B690" s="485" t="s">
        <v>2790</v>
      </c>
      <c r="C690" s="483"/>
      <c r="D690" s="1825" t="s">
        <v>883</v>
      </c>
      <c r="E690" s="1825"/>
      <c r="F690" s="1825"/>
      <c r="H690" s="501"/>
      <c r="I690" s="483"/>
      <c r="J690" s="501"/>
      <c r="K690" s="501"/>
    </row>
    <row r="691" spans="1:11">
      <c r="A691" s="483"/>
      <c r="B691" s="483"/>
      <c r="C691" s="483"/>
      <c r="D691" s="1825" t="s">
        <v>892</v>
      </c>
      <c r="E691" s="1825"/>
      <c r="F691" s="1825"/>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2790</v>
      </c>
      <c r="C695" s="483"/>
      <c r="D695" s="1824" t="s">
        <v>2023</v>
      </c>
      <c r="E695" s="1824"/>
      <c r="F695" s="1824"/>
      <c r="H695" s="501"/>
      <c r="I695" s="483"/>
      <c r="J695" s="501"/>
      <c r="K695" s="501"/>
    </row>
    <row r="696" spans="1:11">
      <c r="A696" s="490"/>
      <c r="B696" s="490"/>
      <c r="C696" s="483"/>
      <c r="D696" s="1824"/>
      <c r="E696" s="1824"/>
      <c r="F696" s="1824"/>
      <c r="H696" s="501"/>
      <c r="I696" s="483"/>
      <c r="J696" s="501"/>
      <c r="K696" s="501"/>
    </row>
    <row r="697" spans="1:11">
      <c r="A697" s="483"/>
      <c r="B697" s="483"/>
      <c r="C697" s="483"/>
      <c r="D697" s="1824"/>
      <c r="E697" s="1824"/>
      <c r="F697" s="1824"/>
      <c r="H697" s="501"/>
      <c r="I697" s="483"/>
      <c r="J697" s="501"/>
      <c r="K697" s="501"/>
    </row>
    <row r="698" spans="1:11">
      <c r="A698" s="483"/>
      <c r="B698" s="483"/>
      <c r="C698" s="483"/>
      <c r="H698" s="501"/>
      <c r="J698" s="501"/>
      <c r="K698" s="501"/>
    </row>
    <row r="699" spans="1:11" ht="14.25">
      <c r="A699" s="484"/>
      <c r="B699" s="485" t="s">
        <v>2789</v>
      </c>
      <c r="C699" s="483"/>
      <c r="D699" s="1825" t="s">
        <v>915</v>
      </c>
      <c r="E699" s="1825"/>
      <c r="F699" s="1825"/>
      <c r="H699" s="501"/>
      <c r="I699" s="483"/>
      <c r="J699" s="501"/>
      <c r="K699" s="501"/>
    </row>
    <row r="700" spans="1:11" ht="14.25">
      <c r="A700" s="484"/>
      <c r="B700" s="484"/>
      <c r="C700" s="483"/>
      <c r="D700" s="1825" t="s">
        <v>892</v>
      </c>
      <c r="E700" s="1825"/>
      <c r="F700" s="1825"/>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2790</v>
      </c>
      <c r="C703" s="483"/>
      <c r="D703" s="1825" t="s">
        <v>2396</v>
      </c>
      <c r="E703" s="1825"/>
      <c r="F703" s="1825"/>
      <c r="H703" s="501"/>
      <c r="I703" s="483"/>
      <c r="J703" s="501"/>
      <c r="K703" s="501"/>
    </row>
    <row r="704" spans="1:11" ht="14.25">
      <c r="A704" s="484"/>
      <c r="B704" s="484"/>
      <c r="C704" s="483"/>
      <c r="D704" s="1825" t="s">
        <v>892</v>
      </c>
      <c r="E704" s="1825"/>
      <c r="F704" s="1825"/>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2790</v>
      </c>
      <c r="C707" s="483"/>
      <c r="D707" s="1824" t="s">
        <v>2194</v>
      </c>
      <c r="E707" s="1824"/>
      <c r="F707" s="1824"/>
      <c r="H707" s="501"/>
      <c r="I707" s="483"/>
      <c r="J707" s="501"/>
      <c r="K707" s="501"/>
    </row>
    <row r="708" spans="1:11">
      <c r="A708" s="483"/>
      <c r="B708" s="483"/>
      <c r="C708" s="483"/>
      <c r="D708" s="1824"/>
      <c r="E708" s="1824"/>
      <c r="F708" s="1824"/>
      <c r="H708" s="501"/>
      <c r="I708" s="483"/>
      <c r="J708" s="501"/>
      <c r="K708" s="501"/>
    </row>
    <row r="709" spans="1:11">
      <c r="A709" s="483"/>
      <c r="B709" s="483"/>
      <c r="C709" s="483"/>
      <c r="D709" s="1824"/>
      <c r="E709" s="1824"/>
      <c r="F709" s="1824"/>
      <c r="H709" s="501"/>
      <c r="I709" s="483"/>
      <c r="J709" s="501"/>
      <c r="K709" s="501"/>
    </row>
    <row r="710" spans="1:11">
      <c r="A710" s="483"/>
      <c r="B710" s="483"/>
      <c r="C710" s="483"/>
      <c r="D710" s="1824"/>
      <c r="E710" s="1824"/>
      <c r="F710" s="1824"/>
      <c r="H710" s="501"/>
      <c r="I710" s="483"/>
      <c r="J710" s="501"/>
      <c r="K710" s="501"/>
    </row>
    <row r="711" spans="1:11">
      <c r="A711" s="483"/>
      <c r="B711" s="483"/>
      <c r="C711" s="483"/>
      <c r="D711" s="1824"/>
      <c r="E711" s="1824"/>
      <c r="F711" s="1824"/>
      <c r="H711" s="501"/>
      <c r="I711" s="483"/>
      <c r="J711" s="501"/>
      <c r="K711" s="501"/>
    </row>
    <row r="712" spans="1:11">
      <c r="A712" s="483"/>
      <c r="B712" s="483"/>
      <c r="C712" s="483"/>
      <c r="D712" s="1824"/>
      <c r="E712" s="1824"/>
      <c r="F712" s="1824"/>
      <c r="H712" s="501"/>
      <c r="I712" s="483"/>
      <c r="J712" s="501"/>
      <c r="K712" s="501"/>
    </row>
    <row r="713" spans="1:11">
      <c r="A713" s="483"/>
      <c r="B713" s="483"/>
      <c r="C713" s="483"/>
      <c r="D713" s="445"/>
      <c r="E713" s="445"/>
      <c r="F713" s="445"/>
      <c r="H713" s="501"/>
      <c r="I713" s="483"/>
      <c r="J713" s="501"/>
      <c r="K713" s="501"/>
    </row>
    <row r="714" spans="1:11">
      <c r="A714" s="483"/>
      <c r="B714" s="485" t="s">
        <v>2790</v>
      </c>
      <c r="C714" s="483"/>
      <c r="D714" s="1824" t="s">
        <v>1199</v>
      </c>
      <c r="E714" s="1824"/>
      <c r="F714" s="1824"/>
      <c r="H714" s="501"/>
      <c r="I714" s="483"/>
      <c r="J714" s="501"/>
      <c r="K714" s="501"/>
    </row>
    <row r="715" spans="1:11">
      <c r="A715" s="483"/>
      <c r="B715" s="483"/>
      <c r="C715" s="483"/>
      <c r="D715" s="1824"/>
      <c r="E715" s="1824"/>
      <c r="F715" s="1824"/>
      <c r="H715" s="501"/>
      <c r="I715" s="483"/>
      <c r="J715" s="501"/>
      <c r="K715" s="501"/>
    </row>
    <row r="716" spans="1:11">
      <c r="A716" s="483"/>
      <c r="B716" s="483"/>
      <c r="C716" s="483"/>
      <c r="D716" s="445"/>
      <c r="E716" s="445"/>
      <c r="F716" s="445"/>
      <c r="H716" s="501"/>
      <c r="I716" s="483"/>
      <c r="J716" s="501"/>
      <c r="K716" s="501"/>
    </row>
    <row r="717" spans="1:11" ht="14.25">
      <c r="A717" s="484"/>
      <c r="B717" s="485" t="s">
        <v>2790</v>
      </c>
      <c r="C717" s="483"/>
      <c r="D717" s="1824" t="s">
        <v>1075</v>
      </c>
      <c r="E717" s="1824"/>
      <c r="F717" s="1824"/>
      <c r="H717" s="501"/>
      <c r="I717" s="483"/>
      <c r="J717" s="501"/>
      <c r="K717" s="501"/>
    </row>
    <row r="718" spans="1:11">
      <c r="A718" s="483"/>
      <c r="B718" s="483"/>
      <c r="C718" s="483"/>
      <c r="D718" s="1824"/>
      <c r="E718" s="1824"/>
      <c r="F718" s="1824"/>
      <c r="H718" s="501"/>
      <c r="I718" s="483"/>
      <c r="J718" s="501"/>
      <c r="K718" s="501"/>
    </row>
    <row r="719" spans="1:11">
      <c r="A719" s="483"/>
      <c r="B719" s="483"/>
      <c r="C719" s="483"/>
      <c r="D719" s="1824"/>
      <c r="E719" s="1824"/>
      <c r="F719" s="1824"/>
      <c r="H719" s="501"/>
      <c r="I719" s="483"/>
      <c r="J719" s="501"/>
      <c r="K719" s="501"/>
    </row>
    <row r="720" spans="1:11" ht="15" customHeight="1">
      <c r="A720" s="483"/>
      <c r="B720" s="483"/>
      <c r="C720" s="483"/>
      <c r="D720" s="1824"/>
      <c r="E720" s="1824"/>
      <c r="F720" s="1824"/>
      <c r="H720" s="501"/>
      <c r="I720" s="483"/>
      <c r="J720" s="501"/>
      <c r="K720" s="501"/>
    </row>
    <row r="721" spans="1:11" ht="15" customHeight="1">
      <c r="A721" s="483"/>
      <c r="B721" s="483"/>
      <c r="C721" s="483"/>
      <c r="D721" s="1824"/>
      <c r="E721" s="1824"/>
      <c r="F721" s="1824"/>
      <c r="H721" s="501"/>
      <c r="I721" s="483"/>
      <c r="J721" s="501"/>
      <c r="K721" s="501"/>
    </row>
    <row r="722" spans="1:11">
      <c r="A722" s="483"/>
      <c r="B722" s="483"/>
      <c r="C722" s="483"/>
      <c r="D722" s="1824"/>
      <c r="E722" s="1824"/>
      <c r="F722" s="1824"/>
      <c r="H722" s="501"/>
      <c r="I722" s="483"/>
      <c r="J722" s="501"/>
      <c r="K722" s="501"/>
    </row>
    <row r="723" spans="1:11">
      <c r="A723" s="483"/>
      <c r="B723" s="483"/>
      <c r="C723" s="483"/>
      <c r="D723" s="1824"/>
      <c r="E723" s="1824"/>
      <c r="F723" s="1824"/>
      <c r="H723" s="501"/>
      <c r="I723" s="483"/>
      <c r="J723" s="501"/>
      <c r="K723" s="501"/>
    </row>
    <row r="724" spans="1:11">
      <c r="A724" s="483"/>
      <c r="B724" s="483"/>
      <c r="C724" s="483"/>
      <c r="D724" s="1824"/>
      <c r="E724" s="1824"/>
      <c r="F724" s="1824"/>
      <c r="H724" s="501"/>
      <c r="I724" s="483"/>
      <c r="J724" s="501"/>
      <c r="K724" s="501"/>
    </row>
    <row r="725" spans="1:11" ht="15" customHeight="1">
      <c r="A725" s="483"/>
      <c r="B725" s="483"/>
      <c r="C725" s="483"/>
      <c r="D725" s="1824"/>
      <c r="E725" s="1824"/>
      <c r="F725" s="1824"/>
      <c r="H725" s="501"/>
      <c r="I725" s="483"/>
      <c r="J725" s="501"/>
      <c r="K725" s="501"/>
    </row>
    <row r="726" spans="1:11">
      <c r="A726" s="483"/>
      <c r="B726" s="483"/>
      <c r="C726" s="483"/>
      <c r="D726" s="1824"/>
      <c r="E726" s="1824"/>
      <c r="F726" s="1824"/>
      <c r="H726" s="501"/>
      <c r="I726" s="483"/>
      <c r="J726" s="501"/>
      <c r="K726" s="501"/>
    </row>
    <row r="727" spans="1:11">
      <c r="A727" s="483"/>
      <c r="B727" s="483"/>
      <c r="C727" s="483"/>
      <c r="D727" s="1824"/>
      <c r="E727" s="1824"/>
      <c r="F727" s="1824"/>
      <c r="H727" s="501"/>
      <c r="I727" s="483"/>
      <c r="J727" s="501"/>
      <c r="K727" s="501"/>
    </row>
    <row r="728" spans="1:11">
      <c r="A728" s="483"/>
      <c r="B728" s="483"/>
      <c r="C728" s="483"/>
      <c r="D728" s="1824"/>
      <c r="E728" s="1824"/>
      <c r="F728" s="1824"/>
      <c r="H728" s="501"/>
      <c r="I728" s="483"/>
      <c r="J728" s="501"/>
      <c r="K728" s="501"/>
    </row>
    <row r="729" spans="1:11">
      <c r="A729" s="483"/>
      <c r="B729" s="483"/>
      <c r="C729" s="483"/>
      <c r="D729" s="1824"/>
      <c r="E729" s="1824"/>
      <c r="F729" s="1824"/>
      <c r="H729" s="501"/>
      <c r="I729" s="483"/>
      <c r="J729" s="501"/>
      <c r="K729" s="501"/>
    </row>
    <row r="730" spans="1:11">
      <c r="A730" s="483"/>
      <c r="B730" s="485" t="s">
        <v>2790</v>
      </c>
      <c r="C730" s="483"/>
      <c r="D730" s="1824" t="s">
        <v>2389</v>
      </c>
      <c r="E730" s="1824"/>
      <c r="F730" s="1824"/>
      <c r="H730" s="501"/>
      <c r="I730" s="483"/>
      <c r="J730" s="501"/>
      <c r="K730" s="501"/>
    </row>
    <row r="731" spans="1:11">
      <c r="A731" s="483"/>
      <c r="B731" s="483"/>
      <c r="C731" s="483"/>
      <c r="D731" s="1824"/>
      <c r="E731" s="1824"/>
      <c r="F731" s="1824"/>
      <c r="H731" s="501"/>
      <c r="I731" s="483"/>
      <c r="J731" s="501"/>
      <c r="K731" s="501"/>
    </row>
    <row r="732" spans="1:11">
      <c r="A732" s="483"/>
      <c r="B732" s="483"/>
      <c r="C732" s="483"/>
      <c r="D732" s="1824"/>
      <c r="E732" s="1824"/>
      <c r="F732" s="1824"/>
      <c r="H732" s="501"/>
      <c r="I732" s="483"/>
      <c r="J732" s="501"/>
      <c r="K732" s="501"/>
    </row>
    <row r="733" spans="1:11">
      <c r="A733" s="483"/>
      <c r="B733" s="483"/>
      <c r="C733" s="483"/>
      <c r="D733" s="445"/>
      <c r="E733" s="445"/>
      <c r="F733" s="445"/>
      <c r="H733" s="501"/>
      <c r="I733" s="483"/>
      <c r="J733" s="501"/>
      <c r="K733" s="501"/>
    </row>
    <row r="734" spans="1:11">
      <c r="A734" s="483"/>
      <c r="B734" s="485" t="s">
        <v>2790</v>
      </c>
      <c r="C734" s="483"/>
      <c r="D734" s="1824" t="s">
        <v>2388</v>
      </c>
      <c r="E734" s="1824"/>
      <c r="F734" s="1824"/>
      <c r="H734" s="501"/>
      <c r="I734" s="483"/>
      <c r="J734" s="501"/>
      <c r="K734" s="501"/>
    </row>
    <row r="735" spans="1:11">
      <c r="A735" s="483"/>
      <c r="B735" s="483"/>
      <c r="C735" s="483"/>
      <c r="D735" s="1824"/>
      <c r="E735" s="1824"/>
      <c r="F735" s="1824"/>
      <c r="H735" s="501"/>
      <c r="I735" s="483"/>
      <c r="J735" s="501"/>
      <c r="K735" s="501"/>
    </row>
    <row r="736" spans="1:11">
      <c r="A736" s="483"/>
      <c r="B736" s="483"/>
      <c r="C736" s="483"/>
      <c r="D736" s="1824"/>
      <c r="E736" s="1824"/>
      <c r="F736" s="1824"/>
      <c r="H736" s="501"/>
      <c r="I736" s="483"/>
      <c r="J736" s="501"/>
      <c r="K736" s="501"/>
    </row>
    <row r="737" spans="1:11">
      <c r="A737" s="483"/>
      <c r="B737" s="483"/>
      <c r="C737" s="483"/>
      <c r="H737" s="501"/>
      <c r="I737" s="483"/>
      <c r="J737" s="501"/>
      <c r="K737" s="501"/>
    </row>
    <row r="738" spans="1:11">
      <c r="A738" s="483"/>
      <c r="B738" s="485" t="s">
        <v>2790</v>
      </c>
      <c r="C738" s="483"/>
      <c r="D738" s="1824" t="s">
        <v>2387</v>
      </c>
      <c r="E738" s="1824"/>
      <c r="F738" s="1824"/>
      <c r="H738" s="501"/>
      <c r="I738" s="483"/>
      <c r="J738" s="501"/>
      <c r="K738" s="501"/>
    </row>
    <row r="739" spans="1:11">
      <c r="A739" s="483"/>
      <c r="B739" s="483"/>
      <c r="C739" s="483"/>
      <c r="D739" s="1824"/>
      <c r="E739" s="1824"/>
      <c r="F739" s="1824"/>
      <c r="H739" s="501"/>
      <c r="I739" s="483"/>
      <c r="J739" s="501"/>
      <c r="K739" s="501"/>
    </row>
    <row r="740" spans="1:11">
      <c r="A740" s="483"/>
      <c r="B740" s="483"/>
      <c r="C740" s="483"/>
      <c r="D740" s="1824"/>
      <c r="E740" s="1824"/>
      <c r="F740" s="1824"/>
      <c r="H740" s="501"/>
      <c r="I740" s="483"/>
      <c r="J740" s="501"/>
      <c r="K740" s="501"/>
    </row>
    <row r="741" spans="1:11">
      <c r="A741" s="483"/>
      <c r="B741" s="483"/>
      <c r="C741" s="483"/>
      <c r="D741" s="1824"/>
      <c r="E741" s="1824"/>
      <c r="F741" s="1824"/>
      <c r="H741" s="501"/>
      <c r="I741" s="483"/>
      <c r="J741" s="501"/>
      <c r="K741" s="501"/>
    </row>
    <row r="742" spans="1:11">
      <c r="A742" s="483"/>
      <c r="B742" s="483"/>
      <c r="C742" s="483"/>
      <c r="H742" s="501"/>
      <c r="I742" s="483"/>
      <c r="J742" s="501"/>
      <c r="K742" s="501"/>
    </row>
    <row r="743" spans="1:11" ht="14.25">
      <c r="A743" s="484"/>
      <c r="B743" s="485" t="s">
        <v>2790</v>
      </c>
      <c r="C743" s="483"/>
      <c r="D743" s="1824" t="s">
        <v>1076</v>
      </c>
      <c r="E743" s="1824"/>
      <c r="F743" s="1824"/>
      <c r="H743" s="501"/>
      <c r="I743" s="483"/>
      <c r="J743" s="501"/>
      <c r="K743" s="501"/>
    </row>
    <row r="744" spans="1:11">
      <c r="A744" s="483"/>
      <c r="B744" s="483"/>
      <c r="C744" s="483"/>
      <c r="D744" s="1824"/>
      <c r="E744" s="1824"/>
      <c r="F744" s="1824"/>
      <c r="H744" s="501"/>
      <c r="I744" s="483"/>
      <c r="J744" s="501"/>
      <c r="K744" s="501"/>
    </row>
    <row r="745" spans="1:11">
      <c r="A745" s="483"/>
      <c r="B745" s="483"/>
      <c r="C745" s="483"/>
      <c r="D745" s="1824"/>
      <c r="E745" s="1824"/>
      <c r="F745" s="1824"/>
      <c r="H745" s="501"/>
      <c r="I745" s="483"/>
      <c r="J745" s="501"/>
      <c r="K745" s="501"/>
    </row>
    <row r="746" spans="1:11">
      <c r="A746" s="483"/>
      <c r="B746" s="483"/>
      <c r="C746" s="483"/>
      <c r="D746" s="1824"/>
      <c r="E746" s="1824"/>
      <c r="F746" s="1824"/>
      <c r="H746" s="501"/>
      <c r="I746" s="483"/>
      <c r="J746" s="501"/>
      <c r="K746" s="501"/>
    </row>
    <row r="747" spans="1:11">
      <c r="A747" s="483"/>
      <c r="B747" s="483"/>
      <c r="C747" s="483"/>
      <c r="D747" s="1824"/>
      <c r="E747" s="1824"/>
      <c r="F747" s="1824"/>
      <c r="H747" s="501"/>
      <c r="I747" s="483"/>
      <c r="J747" s="501"/>
      <c r="K747" s="501"/>
    </row>
    <row r="748" spans="1:11">
      <c r="A748" s="483"/>
      <c r="B748" s="483"/>
      <c r="C748" s="483"/>
      <c r="D748" s="492"/>
      <c r="H748" s="501"/>
      <c r="I748" s="483"/>
      <c r="J748" s="501"/>
      <c r="K748" s="501"/>
    </row>
    <row r="749" spans="1:11" ht="14.25">
      <c r="A749" s="484"/>
      <c r="B749" s="485" t="s">
        <v>2790</v>
      </c>
      <c r="C749" s="483"/>
      <c r="D749" s="1824" t="s">
        <v>2097</v>
      </c>
      <c r="E749" s="1824"/>
      <c r="F749" s="1824"/>
      <c r="H749" s="501"/>
      <c r="I749" s="483"/>
      <c r="J749" s="501"/>
      <c r="K749" s="501"/>
    </row>
    <row r="750" spans="1:11">
      <c r="A750" s="483"/>
      <c r="B750" s="483"/>
      <c r="C750" s="483"/>
      <c r="D750" s="1824"/>
      <c r="E750" s="1824"/>
      <c r="F750" s="1824"/>
      <c r="H750" s="501"/>
      <c r="I750" s="483"/>
      <c r="J750" s="501"/>
      <c r="K750" s="501"/>
    </row>
    <row r="751" spans="1:11">
      <c r="A751" s="483"/>
      <c r="B751" s="483"/>
      <c r="C751" s="483"/>
      <c r="D751" s="1824"/>
      <c r="E751" s="1824"/>
      <c r="F751" s="1824"/>
      <c r="H751" s="501"/>
      <c r="I751" s="483"/>
      <c r="J751" s="501"/>
      <c r="K751" s="501"/>
    </row>
    <row r="752" spans="1:11">
      <c r="A752" s="483"/>
      <c r="B752" s="483"/>
      <c r="C752" s="483"/>
      <c r="D752" s="1824"/>
      <c r="E752" s="1824"/>
      <c r="F752" s="1824"/>
      <c r="H752" s="501"/>
      <c r="I752" s="483"/>
      <c r="J752" s="501"/>
      <c r="K752" s="501"/>
    </row>
    <row r="753" spans="1:11">
      <c r="A753" s="483"/>
      <c r="B753" s="483"/>
      <c r="C753" s="483"/>
      <c r="D753" s="1824"/>
      <c r="E753" s="1824"/>
      <c r="F753" s="1824"/>
      <c r="H753" s="501"/>
      <c r="I753" s="483"/>
      <c r="J753" s="501"/>
      <c r="K753" s="501"/>
    </row>
    <row r="754" spans="1:11">
      <c r="A754" s="483"/>
      <c r="B754" s="483"/>
      <c r="C754" s="483"/>
      <c r="D754" s="1824"/>
      <c r="E754" s="1824"/>
      <c r="F754" s="1824"/>
      <c r="H754" s="501"/>
      <c r="I754" s="483"/>
      <c r="J754" s="501"/>
      <c r="K754" s="501"/>
    </row>
    <row r="755" spans="1:11">
      <c r="A755" s="483"/>
      <c r="B755" s="483"/>
      <c r="C755" s="483"/>
      <c r="D755" s="1824"/>
      <c r="E755" s="1824"/>
      <c r="F755" s="1824"/>
      <c r="H755" s="501"/>
      <c r="I755" s="483"/>
      <c r="J755" s="501"/>
      <c r="K755" s="501"/>
    </row>
    <row r="756" spans="1:11">
      <c r="A756" s="483"/>
      <c r="B756" s="483"/>
      <c r="C756" s="483"/>
      <c r="D756" s="1862" t="s">
        <v>2606</v>
      </c>
      <c r="E756" s="1862"/>
      <c r="F756" s="1862"/>
      <c r="H756" s="501"/>
      <c r="I756" s="483"/>
      <c r="J756" s="501"/>
      <c r="K756" s="501"/>
    </row>
    <row r="757" spans="1:11">
      <c r="A757" s="483"/>
      <c r="B757" s="483"/>
      <c r="C757" s="483"/>
      <c r="D757" s="341"/>
      <c r="H757" s="501"/>
      <c r="I757" s="483"/>
      <c r="J757" s="501"/>
      <c r="K757" s="501"/>
    </row>
    <row r="758" spans="1:11">
      <c r="A758" s="1832" t="s">
        <v>1058</v>
      </c>
      <c r="B758" s="1832"/>
      <c r="C758" s="1832"/>
      <c r="D758" s="1832"/>
      <c r="E758" s="1832"/>
      <c r="F758" s="1832"/>
      <c r="G758" s="1832"/>
      <c r="H758" s="1025"/>
      <c r="I758" s="1151"/>
      <c r="J758" s="501"/>
      <c r="K758" s="501"/>
    </row>
    <row r="759" spans="1:11">
      <c r="A759" s="483"/>
      <c r="B759" s="483"/>
      <c r="C759" s="483"/>
      <c r="D759" s="492"/>
      <c r="G759" s="501"/>
      <c r="H759" s="501"/>
      <c r="I759" s="483"/>
      <c r="J759" s="501"/>
      <c r="K759" s="501"/>
    </row>
    <row r="760" spans="1:11" ht="13.7" customHeight="1">
      <c r="C760" s="483"/>
      <c r="D760" s="1826" t="s">
        <v>1068</v>
      </c>
      <c r="E760" s="1826"/>
      <c r="F760" s="1826"/>
      <c r="G760" s="501"/>
      <c r="H760" s="501"/>
      <c r="I760" s="483"/>
      <c r="J760" s="501"/>
      <c r="K760" s="501"/>
    </row>
    <row r="761" spans="1:11">
      <c r="A761" s="483"/>
      <c r="B761" s="483"/>
      <c r="C761" s="483"/>
      <c r="D761" s="1831" t="s">
        <v>1069</v>
      </c>
      <c r="E761" s="1831"/>
      <c r="F761" s="1831"/>
      <c r="G761" s="501"/>
      <c r="H761" s="501"/>
      <c r="I761" s="483"/>
      <c r="J761" s="501"/>
      <c r="K761" s="501"/>
    </row>
    <row r="762" spans="1:11">
      <c r="A762" s="483"/>
      <c r="B762" s="483"/>
      <c r="C762" s="483"/>
      <c r="G762" s="501"/>
      <c r="H762" s="501"/>
      <c r="I762" s="483"/>
      <c r="J762" s="501"/>
      <c r="K762" s="501"/>
    </row>
    <row r="763" spans="1:11" ht="14.25">
      <c r="A763" s="484"/>
      <c r="B763" s="485" t="s">
        <v>2789</v>
      </c>
      <c r="D763" s="1824" t="s">
        <v>1070</v>
      </c>
      <c r="E763" s="1824"/>
      <c r="F763" s="1824"/>
      <c r="G763" s="501"/>
      <c r="H763" s="501"/>
      <c r="I763" s="483"/>
      <c r="J763" s="501"/>
      <c r="K763" s="501"/>
    </row>
    <row r="764" spans="1:11" ht="10.5" customHeight="1">
      <c r="D764" s="1824"/>
      <c r="E764" s="1824"/>
      <c r="F764" s="1824"/>
      <c r="G764" s="501"/>
      <c r="H764" s="501"/>
      <c r="I764" s="483"/>
      <c r="J764" s="501"/>
      <c r="K764" s="501"/>
    </row>
    <row r="765" spans="1:11">
      <c r="D765" s="1824"/>
      <c r="E765" s="1824"/>
      <c r="F765" s="1824"/>
      <c r="G765" s="501"/>
      <c r="H765" s="501"/>
      <c r="I765" s="483"/>
      <c r="J765" s="501"/>
      <c r="K765" s="501"/>
    </row>
    <row r="766" spans="1:11">
      <c r="D766" s="1824"/>
      <c r="E766" s="1824"/>
      <c r="F766" s="1824"/>
      <c r="G766" s="501"/>
      <c r="H766" s="501"/>
      <c r="I766" s="483"/>
      <c r="J766" s="501"/>
      <c r="K766" s="501"/>
    </row>
    <row r="767" spans="1:11">
      <c r="D767" s="1824"/>
      <c r="E767" s="1824"/>
      <c r="F767" s="1824"/>
      <c r="G767" s="501"/>
      <c r="H767" s="501"/>
      <c r="I767" s="483"/>
      <c r="J767" s="501"/>
      <c r="K767" s="501"/>
    </row>
    <row r="768" spans="1:11" ht="15.6" customHeight="1">
      <c r="D768" s="1824"/>
      <c r="E768" s="1824"/>
      <c r="F768" s="1824"/>
      <c r="G768" s="501"/>
      <c r="H768" s="501"/>
      <c r="I768" s="483"/>
      <c r="J768" s="501"/>
      <c r="K768" s="501"/>
    </row>
    <row r="769" spans="1:11">
      <c r="D769" s="499"/>
      <c r="E769" s="446"/>
      <c r="F769" s="446"/>
      <c r="G769" s="501"/>
      <c r="H769" s="501"/>
      <c r="I769" s="483"/>
      <c r="J769" s="501"/>
      <c r="K769" s="501"/>
    </row>
    <row r="770" spans="1:11" s="505" customFormat="1" ht="14.25">
      <c r="A770" s="503"/>
      <c r="B770" s="485" t="s">
        <v>2789</v>
      </c>
      <c r="C770" s="504"/>
      <c r="D770" s="1824" t="s">
        <v>1239</v>
      </c>
      <c r="E770" s="1824"/>
      <c r="F770" s="1824"/>
      <c r="I770" s="1152"/>
    </row>
    <row r="771" spans="1:11" s="505" customFormat="1">
      <c r="A771" s="504"/>
      <c r="B771" s="504"/>
      <c r="C771" s="504"/>
      <c r="D771" s="1824"/>
      <c r="E771" s="1824"/>
      <c r="F771" s="1824"/>
      <c r="I771" s="1152"/>
    </row>
    <row r="772" spans="1:11" s="505" customFormat="1">
      <c r="A772" s="504"/>
      <c r="B772" s="504"/>
      <c r="C772" s="504"/>
      <c r="D772" s="1824"/>
      <c r="E772" s="1824"/>
      <c r="F772" s="1824"/>
      <c r="I772" s="1152"/>
    </row>
    <row r="773" spans="1:11" s="505" customFormat="1">
      <c r="A773" s="504"/>
      <c r="B773" s="504"/>
      <c r="C773" s="504"/>
      <c r="D773" s="1824"/>
      <c r="E773" s="1824"/>
      <c r="F773" s="1824"/>
      <c r="I773" s="1152"/>
    </row>
    <row r="774" spans="1:11" s="505" customFormat="1">
      <c r="A774" s="504"/>
      <c r="B774" s="504"/>
      <c r="C774" s="504"/>
      <c r="D774" s="499"/>
      <c r="I774" s="1152"/>
    </row>
    <row r="775" spans="1:11" s="505" customFormat="1" ht="14.25">
      <c r="A775" s="484"/>
      <c r="B775" s="485" t="s">
        <v>2789</v>
      </c>
      <c r="C775" s="504"/>
      <c r="D775" s="1835" t="s">
        <v>1240</v>
      </c>
      <c r="E775" s="1835"/>
      <c r="F775" s="1835"/>
      <c r="I775" s="1152"/>
    </row>
    <row r="776" spans="1:11" s="505" customFormat="1">
      <c r="A776" s="504"/>
      <c r="B776" s="504"/>
      <c r="C776" s="504"/>
      <c r="D776" s="1835"/>
      <c r="E776" s="1835"/>
      <c r="F776" s="1835"/>
      <c r="I776" s="1152"/>
    </row>
    <row r="777" spans="1:11" s="505" customFormat="1">
      <c r="A777" s="504"/>
      <c r="B777" s="504"/>
      <c r="C777" s="504"/>
      <c r="D777" s="1835"/>
      <c r="E777" s="1835"/>
      <c r="F777" s="1835"/>
      <c r="I777" s="1152"/>
    </row>
    <row r="778" spans="1:11">
      <c r="D778" s="499"/>
      <c r="E778" s="446"/>
      <c r="F778" s="446"/>
      <c r="G778" s="501"/>
      <c r="H778" s="501"/>
      <c r="I778" s="483"/>
      <c r="J778" s="501"/>
      <c r="K778" s="501"/>
    </row>
    <row r="779" spans="1:11" ht="14.25">
      <c r="A779" s="484"/>
      <c r="B779" s="485" t="s">
        <v>2790</v>
      </c>
      <c r="D779" s="1824" t="s">
        <v>1196</v>
      </c>
      <c r="E779" s="1824"/>
      <c r="F779" s="1824"/>
      <c r="G779" s="501"/>
      <c r="H779" s="501"/>
      <c r="I779" s="483"/>
      <c r="J779" s="501"/>
      <c r="K779" s="501"/>
    </row>
    <row r="780" spans="1:11">
      <c r="D780" s="1824"/>
      <c r="E780" s="1824"/>
      <c r="F780" s="1824"/>
      <c r="G780" s="501"/>
      <c r="H780" s="501"/>
      <c r="I780" s="483"/>
      <c r="J780" s="501"/>
      <c r="K780" s="501"/>
    </row>
    <row r="781" spans="1:11">
      <c r="D781" s="445"/>
      <c r="E781" s="445"/>
      <c r="F781" s="445"/>
      <c r="G781" s="501"/>
      <c r="H781" s="501"/>
      <c r="I781" s="483"/>
      <c r="J781" s="501"/>
      <c r="K781" s="501"/>
    </row>
    <row r="782" spans="1:11">
      <c r="B782" s="485" t="s">
        <v>2790</v>
      </c>
      <c r="D782" s="1824" t="s">
        <v>1213</v>
      </c>
      <c r="E782" s="1824"/>
      <c r="F782" s="1824"/>
      <c r="G782" s="501"/>
      <c r="H782" s="501"/>
      <c r="I782" s="483"/>
      <c r="J782" s="501"/>
      <c r="K782" s="501"/>
    </row>
    <row r="783" spans="1:11">
      <c r="D783" s="1824"/>
      <c r="E783" s="1824"/>
      <c r="F783" s="1824"/>
      <c r="G783" s="501"/>
      <c r="H783" s="501"/>
      <c r="I783" s="483"/>
      <c r="J783" s="501"/>
      <c r="K783" s="501"/>
    </row>
    <row r="784" spans="1:11">
      <c r="D784" s="1824"/>
      <c r="E784" s="1824"/>
      <c r="F784" s="1824"/>
      <c r="G784" s="501"/>
      <c r="H784" s="501"/>
      <c r="I784" s="483"/>
      <c r="J784" s="501"/>
      <c r="K784" s="501"/>
    </row>
    <row r="785" spans="1:11">
      <c r="D785" s="445"/>
      <c r="E785" s="445"/>
      <c r="F785" s="445"/>
      <c r="G785" s="501"/>
      <c r="H785" s="501"/>
      <c r="I785" s="483"/>
      <c r="J785" s="501"/>
      <c r="K785" s="501"/>
    </row>
    <row r="786" spans="1:11" hidden="1">
      <c r="A786" s="1854" t="s">
        <v>1787</v>
      </c>
      <c r="B786" s="1854"/>
      <c r="C786" s="1854"/>
      <c r="D786" s="1854"/>
      <c r="E786" s="1854"/>
      <c r="F786" s="1854"/>
      <c r="G786" s="1854"/>
      <c r="H786" s="1023"/>
      <c r="I786" s="1147"/>
    </row>
    <row r="787" spans="1:11" hidden="1">
      <c r="A787" s="57"/>
      <c r="B787" s="57"/>
      <c r="C787" s="354"/>
      <c r="D787" s="3"/>
      <c r="E787" s="3"/>
      <c r="F787" s="3"/>
      <c r="G787" s="3"/>
      <c r="I787" s="490"/>
    </row>
    <row r="788" spans="1:11" hidden="1">
      <c r="A788" s="57"/>
      <c r="B788" s="57"/>
      <c r="C788" s="354"/>
      <c r="D788" s="1853" t="s">
        <v>1827</v>
      </c>
      <c r="E788" s="1853"/>
      <c r="F788" s="1853"/>
      <c r="G788" s="3"/>
      <c r="I788" s="490"/>
    </row>
    <row r="789" spans="1:11" hidden="1">
      <c r="A789" s="57"/>
      <c r="B789" s="57"/>
      <c r="C789" s="354"/>
      <c r="D789" s="1838" t="s">
        <v>1741</v>
      </c>
      <c r="E789" s="1838"/>
      <c r="F789" s="1838"/>
      <c r="G789" s="3"/>
      <c r="I789" s="490"/>
    </row>
    <row r="790" spans="1:11" hidden="1">
      <c r="A790" s="57"/>
      <c r="B790" s="57"/>
      <c r="C790" s="354"/>
      <c r="D790" s="447"/>
      <c r="E790" s="447"/>
      <c r="F790" s="447"/>
      <c r="G790" s="3"/>
      <c r="I790" s="490"/>
    </row>
    <row r="791" spans="1:11" hidden="1">
      <c r="A791" s="57"/>
      <c r="B791" s="485" t="s">
        <v>307</v>
      </c>
      <c r="C791" s="354"/>
      <c r="D791" s="1855" t="s">
        <v>1742</v>
      </c>
      <c r="E791" s="1855"/>
      <c r="F791" s="1855"/>
      <c r="G791" s="3"/>
      <c r="I791" s="483"/>
    </row>
    <row r="792" spans="1:11" hidden="1">
      <c r="A792" s="57"/>
      <c r="B792" s="57"/>
      <c r="C792" s="354"/>
      <c r="D792" s="1855"/>
      <c r="E792" s="1855"/>
      <c r="F792" s="1855"/>
      <c r="G792" s="3"/>
      <c r="I792" s="490"/>
    </row>
    <row r="793" spans="1:11" hidden="1">
      <c r="A793" s="174"/>
      <c r="B793" s="174"/>
      <c r="C793" s="174"/>
      <c r="D793" s="1855"/>
      <c r="E793" s="1855"/>
      <c r="F793" s="1855"/>
      <c r="G793" s="118"/>
      <c r="I793" s="490"/>
    </row>
    <row r="794" spans="1:11" hidden="1">
      <c r="A794" s="354"/>
      <c r="B794" s="354"/>
      <c r="C794" s="354"/>
      <c r="D794" s="173"/>
      <c r="E794" s="3"/>
      <c r="F794" s="3"/>
      <c r="G794" s="3"/>
      <c r="I794" s="490"/>
    </row>
    <row r="795" spans="1:11" hidden="1">
      <c r="A795" s="172"/>
      <c r="B795" s="485" t="s">
        <v>307</v>
      </c>
      <c r="C795" s="172"/>
      <c r="D795" s="1855" t="s">
        <v>1743</v>
      </c>
      <c r="E795" s="1855"/>
      <c r="F795" s="1855"/>
      <c r="G795" s="3"/>
      <c r="I795" s="483"/>
    </row>
    <row r="796" spans="1:11" hidden="1">
      <c r="A796" s="172"/>
      <c r="B796" s="172"/>
      <c r="C796" s="172"/>
      <c r="D796" s="1855"/>
      <c r="E796" s="1855"/>
      <c r="F796" s="1855"/>
      <c r="G796" s="3"/>
      <c r="I796" s="490"/>
    </row>
    <row r="797" spans="1:11" hidden="1">
      <c r="A797" s="172"/>
      <c r="B797" s="172"/>
      <c r="C797" s="172"/>
      <c r="D797" s="1855"/>
      <c r="E797" s="1855"/>
      <c r="F797" s="1855"/>
      <c r="G797" s="3"/>
      <c r="I797" s="490"/>
    </row>
    <row r="798" spans="1:11" hidden="1">
      <c r="A798" s="174"/>
      <c r="B798" s="174"/>
      <c r="C798" s="174"/>
      <c r="D798" s="3"/>
      <c r="E798" s="983"/>
      <c r="F798" s="983"/>
      <c r="G798" s="983"/>
      <c r="I798" s="490"/>
    </row>
    <row r="799" spans="1:11" ht="14.25" hidden="1">
      <c r="A799" s="175"/>
      <c r="B799" s="485" t="s">
        <v>307</v>
      </c>
      <c r="C799" s="984"/>
      <c r="D799" s="1855" t="s">
        <v>1744</v>
      </c>
      <c r="E799" s="1855"/>
      <c r="F799" s="1855"/>
      <c r="G799" s="983"/>
      <c r="I799" s="483"/>
    </row>
    <row r="800" spans="1:11" ht="14.25" hidden="1">
      <c r="A800" s="175"/>
      <c r="B800" s="175"/>
      <c r="C800" s="984"/>
      <c r="D800" s="1855"/>
      <c r="E800" s="1855"/>
      <c r="F800" s="1855"/>
      <c r="G800" s="983"/>
      <c r="I800" s="490"/>
    </row>
    <row r="801" spans="1:9" ht="14.25" hidden="1">
      <c r="A801" s="175"/>
      <c r="B801" s="175"/>
      <c r="C801" s="984"/>
      <c r="D801" s="1855"/>
      <c r="E801" s="1855"/>
      <c r="F801" s="1855"/>
      <c r="G801" s="983"/>
      <c r="I801" s="490"/>
    </row>
    <row r="802" spans="1:9" ht="14.25" hidden="1">
      <c r="A802" s="175"/>
      <c r="B802" s="175"/>
      <c r="C802" s="984"/>
      <c r="D802" s="118"/>
      <c r="E802" s="3"/>
      <c r="F802" s="3"/>
      <c r="G802" s="983"/>
      <c r="I802" s="490"/>
    </row>
    <row r="803" spans="1:9" ht="14.25" hidden="1">
      <c r="A803" s="175"/>
      <c r="B803" s="485" t="s">
        <v>307</v>
      </c>
      <c r="C803" s="984"/>
      <c r="D803" s="1855" t="s">
        <v>1745</v>
      </c>
      <c r="E803" s="1855"/>
      <c r="F803" s="1855"/>
      <c r="G803" s="983"/>
      <c r="I803" s="483"/>
    </row>
    <row r="804" spans="1:9" ht="14.25" hidden="1">
      <c r="A804" s="175"/>
      <c r="B804" s="175"/>
      <c r="C804" s="984"/>
      <c r="D804" s="1855"/>
      <c r="E804" s="1855"/>
      <c r="F804" s="1855"/>
      <c r="G804" s="983"/>
      <c r="I804" s="490"/>
    </row>
    <row r="805" spans="1:9" ht="14.25" hidden="1">
      <c r="A805" s="175"/>
      <c r="B805" s="175"/>
      <c r="C805" s="984"/>
      <c r="D805" s="1855"/>
      <c r="E805" s="1855"/>
      <c r="F805" s="1855"/>
      <c r="G805" s="983"/>
      <c r="I805" s="490"/>
    </row>
    <row r="806" spans="1:9" ht="14.25" hidden="1">
      <c r="A806" s="175"/>
      <c r="B806" s="175"/>
      <c r="C806" s="984"/>
      <c r="D806" s="1855"/>
      <c r="E806" s="1855"/>
      <c r="F806" s="1855"/>
      <c r="G806" s="983"/>
      <c r="I806" s="490"/>
    </row>
    <row r="807" spans="1:9" ht="14.25" hidden="1">
      <c r="A807" s="175"/>
      <c r="B807" s="175"/>
      <c r="C807" s="984"/>
      <c r="D807" s="1855"/>
      <c r="E807" s="1855"/>
      <c r="F807" s="1855"/>
      <c r="G807" s="983"/>
      <c r="I807" s="490"/>
    </row>
    <row r="808" spans="1:9" ht="14.25" hidden="1">
      <c r="A808" s="175"/>
      <c r="B808" s="175"/>
      <c r="C808" s="984"/>
      <c r="D808" s="1855"/>
      <c r="E808" s="1855"/>
      <c r="F808" s="1855"/>
      <c r="G808" s="983"/>
      <c r="I808" s="490"/>
    </row>
    <row r="809" spans="1:9" ht="14.25" hidden="1">
      <c r="A809" s="175"/>
      <c r="B809" s="175"/>
      <c r="C809" s="984"/>
      <c r="D809" s="1855" t="s">
        <v>1788</v>
      </c>
      <c r="E809" s="1855"/>
      <c r="F809" s="1855"/>
      <c r="G809" s="983"/>
      <c r="I809" s="490"/>
    </row>
    <row r="810" spans="1:9" ht="14.25" hidden="1">
      <c r="A810" s="175"/>
      <c r="B810" s="175"/>
      <c r="C810" s="984"/>
      <c r="D810" s="1855"/>
      <c r="E810" s="1855"/>
      <c r="F810" s="1855"/>
      <c r="G810" s="983"/>
      <c r="I810" s="490"/>
    </row>
    <row r="811" spans="1:9" ht="14.25" hidden="1">
      <c r="A811" s="175"/>
      <c r="B811" s="175"/>
      <c r="C811" s="984"/>
      <c r="D811" s="1855"/>
      <c r="E811" s="1855"/>
      <c r="F811" s="1855"/>
      <c r="G811" s="983"/>
      <c r="I811" s="490"/>
    </row>
    <row r="812" spans="1:9" ht="14.25" hidden="1">
      <c r="A812" s="175"/>
      <c r="B812" s="354"/>
      <c r="C812" s="984"/>
      <c r="D812" s="985"/>
      <c r="E812" s="985"/>
      <c r="F812" s="985"/>
      <c r="G812" s="983"/>
      <c r="I812" s="490"/>
    </row>
    <row r="813" spans="1:9" ht="14.25" hidden="1">
      <c r="A813" s="175"/>
      <c r="B813" s="485" t="s">
        <v>307</v>
      </c>
      <c r="C813" s="984"/>
      <c r="D813" s="1855" t="s">
        <v>1746</v>
      </c>
      <c r="E813" s="1855"/>
      <c r="F813" s="1855"/>
      <c r="G813" s="983"/>
      <c r="I813" s="483"/>
    </row>
    <row r="814" spans="1:9" ht="14.25" hidden="1">
      <c r="A814" s="175"/>
      <c r="B814" s="175"/>
      <c r="C814" s="984"/>
      <c r="D814" s="1855"/>
      <c r="E814" s="1855"/>
      <c r="F814" s="1855"/>
      <c r="G814" s="983"/>
      <c r="I814" s="490"/>
    </row>
    <row r="815" spans="1:9" ht="14.25" hidden="1">
      <c r="A815" s="175"/>
      <c r="B815" s="175"/>
      <c r="C815" s="984"/>
      <c r="D815" s="1855"/>
      <c r="E815" s="1855"/>
      <c r="F815" s="1855"/>
      <c r="G815" s="983"/>
      <c r="I815" s="490"/>
    </row>
    <row r="816" spans="1:9" ht="14.25" hidden="1">
      <c r="A816" s="175"/>
      <c r="B816" s="175"/>
      <c r="C816" s="984"/>
      <c r="D816" s="1855"/>
      <c r="E816" s="1855"/>
      <c r="F816" s="1855"/>
      <c r="G816" s="983"/>
      <c r="I816" s="490"/>
    </row>
    <row r="817" spans="1:9" ht="14.25" hidden="1">
      <c r="A817" s="175"/>
      <c r="B817" s="175"/>
      <c r="C817" s="984"/>
      <c r="D817" s="1855"/>
      <c r="E817" s="1855"/>
      <c r="F817" s="1855"/>
      <c r="G817" s="983"/>
      <c r="I817" s="490"/>
    </row>
    <row r="818" spans="1:9" ht="14.25" hidden="1">
      <c r="A818" s="175"/>
      <c r="B818" s="175"/>
      <c r="C818" s="984"/>
      <c r="D818" s="1855"/>
      <c r="E818" s="1855"/>
      <c r="F818" s="1855"/>
      <c r="G818" s="983"/>
      <c r="I818" s="490"/>
    </row>
    <row r="819" spans="1:9" ht="14.25" hidden="1">
      <c r="A819" s="175"/>
      <c r="B819" s="175"/>
      <c r="C819" s="984"/>
      <c r="D819" s="977"/>
      <c r="E819" s="977"/>
      <c r="F819" s="977"/>
      <c r="G819" s="983"/>
      <c r="I819" s="490"/>
    </row>
    <row r="820" spans="1:9" ht="14.25" hidden="1">
      <c r="A820" s="175"/>
      <c r="B820" s="485" t="s">
        <v>307</v>
      </c>
      <c r="C820" s="984"/>
      <c r="D820" s="1855" t="s">
        <v>1747</v>
      </c>
      <c r="E820" s="1855"/>
      <c r="F820" s="1855"/>
      <c r="G820" s="983"/>
      <c r="I820" s="483"/>
    </row>
    <row r="821" spans="1:9" ht="14.25" hidden="1">
      <c r="A821" s="175"/>
      <c r="B821" s="175"/>
      <c r="C821" s="984"/>
      <c r="D821" s="1855"/>
      <c r="E821" s="1855"/>
      <c r="F821" s="1855"/>
      <c r="G821" s="983"/>
      <c r="I821" s="490"/>
    </row>
    <row r="822" spans="1:9" ht="14.25" hidden="1">
      <c r="A822" s="175"/>
      <c r="B822" s="175"/>
      <c r="C822" s="984"/>
      <c r="D822" s="1855"/>
      <c r="E822" s="1855"/>
      <c r="F822" s="1855"/>
      <c r="G822" s="983"/>
      <c r="I822" s="490"/>
    </row>
    <row r="823" spans="1:9" ht="14.25" hidden="1">
      <c r="A823" s="175"/>
      <c r="B823" s="175"/>
      <c r="C823" s="984"/>
      <c r="D823" s="1855"/>
      <c r="E823" s="1855"/>
      <c r="F823" s="1855"/>
      <c r="G823" s="983"/>
      <c r="I823" s="490"/>
    </row>
    <row r="824" spans="1:9" ht="14.25" hidden="1">
      <c r="A824" s="175"/>
      <c r="B824" s="175"/>
      <c r="C824" s="984"/>
      <c r="D824" s="1855"/>
      <c r="E824" s="1855"/>
      <c r="F824" s="1855"/>
      <c r="G824" s="983"/>
      <c r="I824" s="490"/>
    </row>
    <row r="825" spans="1:9" ht="14.25" hidden="1">
      <c r="A825" s="175"/>
      <c r="B825" s="175"/>
      <c r="C825" s="984"/>
      <c r="D825" s="1855"/>
      <c r="E825" s="1855"/>
      <c r="F825" s="1855"/>
      <c r="G825" s="983"/>
      <c r="I825" s="490"/>
    </row>
    <row r="826" spans="1:9" ht="14.25" hidden="1">
      <c r="A826" s="175"/>
      <c r="B826" s="175"/>
      <c r="C826" s="984"/>
      <c r="D826" s="977"/>
      <c r="E826" s="977"/>
      <c r="F826" s="977"/>
      <c r="G826" s="983"/>
      <c r="I826" s="490"/>
    </row>
    <row r="827" spans="1:9" ht="14.25" hidden="1">
      <c r="A827" s="175"/>
      <c r="B827" s="485" t="s">
        <v>307</v>
      </c>
      <c r="C827" s="984"/>
      <c r="D827" s="1829" t="s">
        <v>1748</v>
      </c>
      <c r="E827" s="1829"/>
      <c r="F827" s="1829"/>
      <c r="G827" s="983"/>
      <c r="I827" s="483"/>
    </row>
    <row r="828" spans="1:9" ht="14.25" hidden="1">
      <c r="A828" s="175"/>
      <c r="B828" s="175"/>
      <c r="C828" s="984"/>
      <c r="D828" s="1829"/>
      <c r="E828" s="1829"/>
      <c r="F828" s="1829"/>
      <c r="G828" s="983"/>
      <c r="I828" s="490"/>
    </row>
    <row r="829" spans="1:9" hidden="1">
      <c r="A829" s="13"/>
      <c r="B829" s="13"/>
      <c r="C829" s="984"/>
      <c r="D829" s="1829"/>
      <c r="E829" s="1829"/>
      <c r="F829" s="1829"/>
      <c r="G829" s="983"/>
      <c r="I829" s="490"/>
    </row>
    <row r="830" spans="1:9" ht="14.25" hidden="1">
      <c r="A830" s="175"/>
      <c r="B830" s="13"/>
      <c r="C830" s="984"/>
      <c r="D830" s="1829"/>
      <c r="E830" s="1829"/>
      <c r="F830" s="1829"/>
      <c r="G830" s="983"/>
      <c r="I830" s="490"/>
    </row>
    <row r="831" spans="1:9" ht="12.75" hidden="1" customHeight="1">
      <c r="A831" s="175"/>
      <c r="B831" s="13"/>
      <c r="C831" s="984"/>
      <c r="D831" s="1829"/>
      <c r="E831" s="1829"/>
      <c r="F831" s="1829"/>
      <c r="G831" s="983"/>
      <c r="I831" s="490"/>
    </row>
    <row r="832" spans="1:9" ht="12.75" hidden="1" customHeight="1">
      <c r="A832" s="175"/>
      <c r="B832" s="13"/>
      <c r="C832" s="984"/>
      <c r="D832" s="1829"/>
      <c r="E832" s="1829"/>
      <c r="F832" s="1829"/>
      <c r="G832" s="983"/>
      <c r="I832" s="490"/>
    </row>
    <row r="833" spans="1:9" ht="12.75" hidden="1" customHeight="1">
      <c r="A833" s="13"/>
      <c r="B833" s="13"/>
      <c r="C833" s="984"/>
      <c r="D833" s="983"/>
      <c r="E833" s="3"/>
      <c r="F833" s="3"/>
      <c r="G833" s="983"/>
      <c r="I833" s="490"/>
    </row>
    <row r="834" spans="1:9" ht="12.75" customHeight="1">
      <c r="A834" s="1847" t="s">
        <v>1749</v>
      </c>
      <c r="B834" s="1847"/>
      <c r="C834" s="1847"/>
      <c r="D834" s="1847"/>
      <c r="E834" s="1847"/>
      <c r="F834" s="1847"/>
      <c r="G834" s="1847"/>
      <c r="H834" s="1023"/>
      <c r="I834" s="1147"/>
    </row>
    <row r="835" spans="1:9" ht="12.75" customHeight="1">
      <c r="A835" s="172"/>
      <c r="B835" s="172"/>
      <c r="C835" s="984"/>
      <c r="D835" s="983"/>
      <c r="E835" s="983"/>
      <c r="F835" s="983"/>
      <c r="G835" s="983"/>
      <c r="I835" s="490"/>
    </row>
    <row r="836" spans="1:9" ht="12.75" customHeight="1">
      <c r="A836" s="175"/>
      <c r="B836" s="175"/>
      <c r="C836" s="354"/>
      <c r="D836" s="1852" t="s">
        <v>1789</v>
      </c>
      <c r="E836" s="1852"/>
      <c r="F836" s="1852"/>
      <c r="G836" s="3"/>
      <c r="I836" s="490"/>
    </row>
    <row r="837" spans="1:9" ht="14.25" customHeight="1">
      <c r="A837" s="175"/>
      <c r="B837" s="175"/>
      <c r="C837" s="354"/>
      <c r="D837" s="1479" t="s">
        <v>1750</v>
      </c>
      <c r="E837" s="1479"/>
      <c r="F837" s="1479"/>
      <c r="G837" s="3"/>
      <c r="I837" s="490"/>
    </row>
    <row r="838" spans="1:9" ht="12.75" customHeight="1">
      <c r="A838" s="175"/>
      <c r="B838" s="175"/>
      <c r="C838" s="354"/>
      <c r="D838" s="441"/>
      <c r="E838" s="441"/>
      <c r="F838" s="441"/>
      <c r="G838" s="3"/>
      <c r="I838" s="490"/>
    </row>
    <row r="839" spans="1:9" ht="12.75" customHeight="1">
      <c r="A839" s="354"/>
      <c r="B839" s="485" t="s">
        <v>2789</v>
      </c>
      <c r="C839" s="984"/>
      <c r="D839" s="1479" t="s">
        <v>1751</v>
      </c>
      <c r="E839" s="1479"/>
      <c r="F839" s="1479"/>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61" t="s">
        <v>2029</v>
      </c>
      <c r="E842" s="1861"/>
      <c r="F842" s="1861"/>
      <c r="G842" s="3"/>
      <c r="I842" s="490"/>
    </row>
    <row r="843" spans="1:9" ht="12.75" hidden="1" customHeight="1">
      <c r="A843" s="13"/>
      <c r="B843" s="13"/>
      <c r="C843" s="984"/>
      <c r="D843" s="1861"/>
      <c r="E843" s="1861"/>
      <c r="F843" s="1861"/>
      <c r="G843" s="3"/>
      <c r="I843" s="490"/>
    </row>
    <row r="844" spans="1:9" ht="12.75" hidden="1" customHeight="1">
      <c r="A844" s="13"/>
      <c r="B844" s="13"/>
      <c r="C844" s="984"/>
      <c r="D844" s="1861"/>
      <c r="E844" s="1861"/>
      <c r="F844" s="1861"/>
      <c r="G844" s="3"/>
      <c r="I844" s="490"/>
    </row>
    <row r="845" spans="1:9" ht="12.75" hidden="1" customHeight="1">
      <c r="A845" s="13"/>
      <c r="B845" s="13"/>
      <c r="C845" s="984"/>
      <c r="D845" s="1861"/>
      <c r="E845" s="1861"/>
      <c r="F845" s="1861"/>
      <c r="G845" s="3"/>
      <c r="I845" s="490"/>
    </row>
    <row r="846" spans="1:9" ht="12.75" hidden="1" customHeight="1">
      <c r="A846" s="13"/>
      <c r="B846" s="13"/>
      <c r="C846" s="984"/>
      <c r="D846" s="1861"/>
      <c r="E846" s="1861"/>
      <c r="F846" s="1861"/>
      <c r="G846" s="3"/>
      <c r="I846" s="490"/>
    </row>
    <row r="847" spans="1:9" ht="12.75" hidden="1" customHeight="1">
      <c r="A847" s="13"/>
      <c r="B847" s="13"/>
      <c r="C847" s="984"/>
      <c r="D847" s="1861"/>
      <c r="E847" s="1861"/>
      <c r="F847" s="1861"/>
      <c r="G847" s="3"/>
      <c r="I847" s="490"/>
    </row>
    <row r="848" spans="1:9" ht="12.75" hidden="1" customHeight="1">
      <c r="A848" s="13"/>
      <c r="B848" s="13"/>
      <c r="C848" s="984"/>
      <c r="D848" s="1861"/>
      <c r="E848" s="1861"/>
      <c r="F848" s="1861"/>
      <c r="G848" s="3"/>
      <c r="I848" s="490"/>
    </row>
    <row r="849" spans="1:9" ht="12.75" hidden="1" customHeight="1">
      <c r="A849" s="13"/>
      <c r="B849" s="13"/>
      <c r="C849" s="984"/>
      <c r="D849" s="1861"/>
      <c r="E849" s="1861"/>
      <c r="F849" s="1861"/>
      <c r="G849" s="3"/>
      <c r="I849" s="490"/>
    </row>
    <row r="850" spans="1:9" ht="12.75" hidden="1" customHeight="1">
      <c r="A850" s="13"/>
      <c r="B850" s="13"/>
      <c r="C850" s="984"/>
      <c r="D850" s="1861"/>
      <c r="E850" s="1861"/>
      <c r="F850" s="1861"/>
      <c r="G850" s="3"/>
      <c r="I850" s="490"/>
    </row>
    <row r="851" spans="1:9" ht="12.75" hidden="1" customHeight="1">
      <c r="A851" s="13"/>
      <c r="B851" s="13"/>
      <c r="C851" s="984"/>
      <c r="D851" s="1861"/>
      <c r="E851" s="1861"/>
      <c r="F851" s="1861"/>
      <c r="G851" s="3"/>
      <c r="I851" s="490"/>
    </row>
    <row r="852" spans="1:9" ht="12.75" hidden="1" customHeight="1">
      <c r="A852" s="13"/>
      <c r="B852" s="13"/>
      <c r="C852" s="984"/>
      <c r="D852" s="986"/>
      <c r="E852" s="3"/>
      <c r="F852" s="3"/>
      <c r="G852" s="3"/>
      <c r="I852" s="490"/>
    </row>
    <row r="853" spans="1:9" ht="12.75" customHeight="1">
      <c r="A853" s="175"/>
      <c r="B853" s="485" t="s">
        <v>2789</v>
      </c>
      <c r="C853" s="984"/>
      <c r="D853" s="1479" t="s">
        <v>1752</v>
      </c>
      <c r="E853" s="1479"/>
      <c r="F853" s="1479"/>
      <c r="G853" s="3"/>
      <c r="I853" s="490" t="s">
        <v>1854</v>
      </c>
    </row>
    <row r="854" spans="1:9" ht="12.75" customHeight="1">
      <c r="A854" s="175"/>
      <c r="B854" s="175"/>
      <c r="C854" s="984"/>
      <c r="D854" s="1479"/>
      <c r="E854" s="1479"/>
      <c r="F854" s="1479"/>
      <c r="G854" s="3"/>
      <c r="I854" s="490"/>
    </row>
    <row r="855" spans="1:9" ht="12.75" customHeight="1">
      <c r="A855" s="175"/>
      <c r="B855" s="175"/>
      <c r="C855" s="984"/>
      <c r="D855" s="1479"/>
      <c r="E855" s="1479"/>
      <c r="F855" s="1479"/>
      <c r="G855" s="3"/>
      <c r="I855" s="490"/>
    </row>
    <row r="856" spans="1:9" ht="12.75" customHeight="1">
      <c r="A856" s="175"/>
      <c r="B856" s="175"/>
      <c r="C856" s="984"/>
      <c r="D856" s="118"/>
      <c r="E856" s="3"/>
      <c r="F856" s="3"/>
      <c r="G856" s="3"/>
      <c r="I856" s="490"/>
    </row>
    <row r="857" spans="1:9" ht="12.75" customHeight="1">
      <c r="A857" s="987"/>
      <c r="B857" s="485" t="s">
        <v>2790</v>
      </c>
      <c r="C857" s="984"/>
      <c r="D857" s="1852" t="s">
        <v>1753</v>
      </c>
      <c r="E857" s="1852"/>
      <c r="F857" s="1852"/>
      <c r="G857" s="3"/>
      <c r="I857" s="490"/>
    </row>
    <row r="858" spans="1:9" ht="12.75" customHeight="1">
      <c r="A858" s="354"/>
      <c r="B858" s="987"/>
      <c r="C858" s="984"/>
      <c r="D858" s="1852"/>
      <c r="E858" s="1852"/>
      <c r="F858" s="1852"/>
      <c r="G858" s="3"/>
      <c r="I858" s="490"/>
    </row>
    <row r="859" spans="1:9" ht="12.75" customHeight="1">
      <c r="A859" s="175"/>
      <c r="B859" s="354"/>
      <c r="C859" s="984"/>
      <c r="D859" s="1479" t="s">
        <v>2024</v>
      </c>
      <c r="E859" s="1479"/>
      <c r="F859" s="1479"/>
      <c r="G859" s="3"/>
      <c r="I859" s="490"/>
    </row>
    <row r="860" spans="1:9" ht="12.75" customHeight="1">
      <c r="A860" s="175"/>
      <c r="B860" s="175"/>
      <c r="C860" s="984"/>
      <c r="D860" s="1479"/>
      <c r="E860" s="1479"/>
      <c r="F860" s="1479"/>
      <c r="G860" s="3"/>
      <c r="I860" s="490"/>
    </row>
    <row r="861" spans="1:9" ht="12.75" customHeight="1">
      <c r="A861" s="175"/>
      <c r="B861" s="175"/>
      <c r="C861" s="984"/>
      <c r="D861" s="1479"/>
      <c r="E861" s="1479"/>
      <c r="F861" s="1479"/>
      <c r="G861" s="3"/>
      <c r="I861" s="490"/>
    </row>
    <row r="862" spans="1:9" ht="12.75" customHeight="1">
      <c r="A862" s="175"/>
      <c r="B862" s="175"/>
      <c r="C862" s="984"/>
      <c r="D862" s="1479"/>
      <c r="E862" s="1479"/>
      <c r="F862" s="1479"/>
      <c r="G862" s="3"/>
      <c r="I862" s="490"/>
    </row>
    <row r="863" spans="1:9" ht="12.75" customHeight="1">
      <c r="A863" s="175"/>
      <c r="B863" s="175"/>
      <c r="C863" s="984"/>
      <c r="D863" s="1479"/>
      <c r="E863" s="1479"/>
      <c r="F863" s="1479"/>
      <c r="G863" s="3"/>
      <c r="I863" s="490"/>
    </row>
    <row r="864" spans="1:9" ht="12.75" customHeight="1">
      <c r="A864" s="175"/>
      <c r="B864" s="175"/>
      <c r="C864" s="984"/>
      <c r="D864" s="1479"/>
      <c r="E864" s="1479"/>
      <c r="F864" s="1479"/>
      <c r="G864" s="3"/>
      <c r="I864" s="490"/>
    </row>
    <row r="865" spans="1:9" ht="12.75" customHeight="1">
      <c r="A865" s="175"/>
      <c r="B865" s="175"/>
      <c r="C865" s="984"/>
      <c r="D865" s="118"/>
      <c r="E865" s="3"/>
      <c r="F865" s="3"/>
      <c r="G865" s="3"/>
      <c r="I865" s="490"/>
    </row>
    <row r="866" spans="1:9" ht="12.75" customHeight="1">
      <c r="A866" s="175"/>
      <c r="B866" s="485" t="s">
        <v>2790</v>
      </c>
      <c r="C866" s="984"/>
      <c r="D866" s="1479" t="s">
        <v>1754</v>
      </c>
      <c r="E866" s="1479"/>
      <c r="F866" s="1479"/>
      <c r="G866" s="3"/>
      <c r="I866" s="490" t="s">
        <v>1852</v>
      </c>
    </row>
    <row r="867" spans="1:9" ht="12.75" customHeight="1">
      <c r="A867" s="175"/>
      <c r="B867" s="175"/>
      <c r="C867" s="984"/>
      <c r="D867" s="1479" t="s">
        <v>1755</v>
      </c>
      <c r="E867" s="1479"/>
      <c r="F867" s="1479"/>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2790</v>
      </c>
      <c r="C870" s="984"/>
      <c r="D870" s="1479" t="s">
        <v>1756</v>
      </c>
      <c r="E870" s="1479"/>
      <c r="F870" s="1479"/>
      <c r="G870" s="3"/>
      <c r="I870" s="490" t="s">
        <v>1855</v>
      </c>
    </row>
    <row r="871" spans="1:9" ht="12.75" customHeight="1">
      <c r="A871" s="175"/>
      <c r="B871" s="175"/>
      <c r="C871" s="984"/>
      <c r="D871" s="1479"/>
      <c r="E871" s="1479"/>
      <c r="F871" s="1479"/>
      <c r="G871" s="3"/>
      <c r="I871" s="490"/>
    </row>
    <row r="872" spans="1:9" ht="12.75" customHeight="1">
      <c r="A872" s="175"/>
      <c r="B872" s="175"/>
      <c r="C872" s="984"/>
      <c r="D872" s="1479"/>
      <c r="E872" s="1479"/>
      <c r="F872" s="1479"/>
      <c r="G872" s="3"/>
      <c r="I872" s="490"/>
    </row>
    <row r="873" spans="1:9" ht="12.75" customHeight="1">
      <c r="A873" s="175"/>
      <c r="B873" s="175"/>
      <c r="C873" s="984"/>
      <c r="D873" s="1479"/>
      <c r="E873" s="1479"/>
      <c r="F873" s="1479"/>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9" t="s">
        <v>1790</v>
      </c>
      <c r="E877" s="1859"/>
      <c r="F877" s="1859"/>
      <c r="G877" s="983"/>
      <c r="I877" s="490"/>
    </row>
    <row r="878" spans="1:9" ht="12.75" customHeight="1">
      <c r="A878" s="354"/>
      <c r="B878" s="354"/>
      <c r="C878" s="174"/>
      <c r="D878" s="1860" t="s">
        <v>1758</v>
      </c>
      <c r="E878" s="1860"/>
      <c r="F878" s="1860"/>
      <c r="G878" s="983"/>
      <c r="I878" s="490"/>
    </row>
    <row r="879" spans="1:9" ht="12.75" customHeight="1">
      <c r="A879" s="354"/>
      <c r="B879" s="354"/>
      <c r="C879" s="174"/>
      <c r="D879" s="990"/>
      <c r="E879" s="990"/>
      <c r="F879" s="990"/>
      <c r="G879" s="983"/>
      <c r="I879" s="490"/>
    </row>
    <row r="880" spans="1:9" ht="12.75" customHeight="1">
      <c r="A880" s="175"/>
      <c r="B880" s="485" t="s">
        <v>2789</v>
      </c>
      <c r="C880" s="354"/>
      <c r="D880" s="1839" t="s">
        <v>1759</v>
      </c>
      <c r="E880" s="1839"/>
      <c r="F880" s="1839"/>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479" t="s">
        <v>1760</v>
      </c>
      <c r="E883" s="1849"/>
      <c r="F883" s="1849"/>
      <c r="G883" s="3"/>
      <c r="I883" s="490" t="s">
        <v>1855</v>
      </c>
    </row>
    <row r="884" spans="1:9" ht="12.75" customHeight="1">
      <c r="A884" s="354"/>
      <c r="B884" s="354"/>
      <c r="C884" s="354"/>
      <c r="D884" s="1849"/>
      <c r="E884" s="1849"/>
      <c r="F884" s="1849"/>
      <c r="G884" s="3"/>
      <c r="I884" s="490"/>
    </row>
    <row r="885" spans="1:9" ht="12.75" customHeight="1">
      <c r="A885" s="354"/>
      <c r="B885" s="354"/>
      <c r="C885" s="354"/>
      <c r="D885" s="118"/>
      <c r="E885" s="3"/>
      <c r="F885" s="3"/>
      <c r="G885" s="3"/>
      <c r="I885" s="490"/>
    </row>
    <row r="886" spans="1:9" ht="12.75" customHeight="1">
      <c r="A886" s="354"/>
      <c r="B886" s="485" t="s">
        <v>2790</v>
      </c>
      <c r="C886" s="354"/>
      <c r="D886" s="1850" t="s">
        <v>1761</v>
      </c>
      <c r="E886" s="1850"/>
      <c r="F886" s="1850"/>
      <c r="G886" s="983"/>
      <c r="I886" s="490"/>
    </row>
    <row r="887" spans="1:9" ht="12.75" customHeight="1">
      <c r="A887" s="354"/>
      <c r="B887" s="991"/>
      <c r="C887" s="354"/>
      <c r="D887" s="1850"/>
      <c r="E887" s="1850"/>
      <c r="F887" s="1850"/>
      <c r="G887" s="983"/>
      <c r="I887" s="490"/>
    </row>
    <row r="888" spans="1:9" ht="12.75" customHeight="1">
      <c r="A888" s="175"/>
      <c r="B888"/>
      <c r="C888" s="354"/>
      <c r="D888" s="1479" t="s">
        <v>2024</v>
      </c>
      <c r="E888" s="1479"/>
      <c r="F888" s="1479"/>
      <c r="G888" s="983"/>
      <c r="I888" s="490"/>
    </row>
    <row r="889" spans="1:9" ht="12.75" customHeight="1">
      <c r="A889" s="175"/>
      <c r="B889" s="175"/>
      <c r="C889" s="354"/>
      <c r="D889" s="1479"/>
      <c r="E889" s="1479"/>
      <c r="F889" s="1479"/>
      <c r="G889" s="983"/>
      <c r="I889" s="490"/>
    </row>
    <row r="890" spans="1:9" ht="12.75" customHeight="1">
      <c r="A890" s="175"/>
      <c r="B890" s="175"/>
      <c r="C890" s="354"/>
      <c r="D890" s="1479"/>
      <c r="E890" s="1479"/>
      <c r="F890" s="1479"/>
      <c r="G890" s="983"/>
      <c r="I890" s="490"/>
    </row>
    <row r="891" spans="1:9" ht="12.75" customHeight="1">
      <c r="A891" s="175"/>
      <c r="B891" s="175"/>
      <c r="C891" s="354"/>
      <c r="D891" s="1479"/>
      <c r="E891" s="1479"/>
      <c r="F891" s="1479"/>
      <c r="G891" s="983"/>
      <c r="I891" s="490"/>
    </row>
    <row r="892" spans="1:9" ht="12.75" customHeight="1">
      <c r="A892" s="175"/>
      <c r="B892" s="175"/>
      <c r="C892" s="354"/>
      <c r="D892" s="1479"/>
      <c r="E892" s="1479"/>
      <c r="F892" s="1479"/>
      <c r="G892" s="983"/>
      <c r="I892" s="490"/>
    </row>
    <row r="893" spans="1:9" ht="12.75" customHeight="1">
      <c r="A893" s="175"/>
      <c r="B893" s="175"/>
      <c r="C893" s="354"/>
      <c r="D893" s="1479"/>
      <c r="E893" s="1479"/>
      <c r="F893" s="1479"/>
      <c r="G893" s="983"/>
      <c r="I893" s="490"/>
    </row>
    <row r="894" spans="1:9" ht="12.75" customHeight="1">
      <c r="A894" s="175"/>
      <c r="B894" s="175"/>
      <c r="C894" s="354"/>
      <c r="D894" s="118"/>
      <c r="E894" s="983"/>
      <c r="F894" s="983"/>
      <c r="G894" s="983"/>
      <c r="I894" s="490"/>
    </row>
    <row r="895" spans="1:9" ht="12.75" customHeight="1">
      <c r="A895" s="175"/>
      <c r="B895" s="485" t="s">
        <v>2790</v>
      </c>
      <c r="C895" s="354"/>
      <c r="D895" s="1840" t="s">
        <v>1754</v>
      </c>
      <c r="E895" s="1840"/>
      <c r="F895" s="1840"/>
      <c r="G895" s="983"/>
      <c r="I895" s="490"/>
    </row>
    <row r="896" spans="1:9" ht="12.75" customHeight="1">
      <c r="A896" s="175"/>
      <c r="B896" s="175"/>
      <c r="C896" s="354"/>
      <c r="D896" s="1840" t="s">
        <v>1755</v>
      </c>
      <c r="E896" s="1840"/>
      <c r="F896" s="1840"/>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2790</v>
      </c>
      <c r="C899" s="354"/>
      <c r="D899" s="1479" t="s">
        <v>1756</v>
      </c>
      <c r="E899" s="1479"/>
      <c r="F899" s="1479"/>
      <c r="G899" s="983"/>
      <c r="I899" s="490"/>
    </row>
    <row r="900" spans="1:9" ht="12.75" customHeight="1">
      <c r="A900" s="175"/>
      <c r="B900" s="175"/>
      <c r="C900" s="354"/>
      <c r="D900" s="1479"/>
      <c r="E900" s="1479"/>
      <c r="F900" s="1479"/>
      <c r="G900" s="983"/>
      <c r="I900" s="490"/>
    </row>
    <row r="901" spans="1:9" ht="12.75" customHeight="1">
      <c r="A901" s="175"/>
      <c r="B901" s="175"/>
      <c r="C901" s="354"/>
      <c r="D901" s="1479"/>
      <c r="E901" s="1479"/>
      <c r="F901" s="1479"/>
      <c r="G901" s="983"/>
      <c r="I901" s="490"/>
    </row>
    <row r="902" spans="1:9" ht="12.75" customHeight="1">
      <c r="A902" s="175"/>
      <c r="B902" s="175"/>
      <c r="C902" s="354"/>
      <c r="D902" s="1479"/>
      <c r="E902" s="1479"/>
      <c r="F902" s="1479"/>
      <c r="G902" s="983"/>
      <c r="I902" s="490"/>
    </row>
    <row r="903" spans="1:9" ht="12.75" customHeight="1">
      <c r="A903" s="118"/>
      <c r="B903" s="118"/>
      <c r="C903" s="984"/>
      <c r="D903" s="983"/>
      <c r="E903" s="983"/>
      <c r="F903" s="983"/>
      <c r="G903" s="983"/>
      <c r="I903" s="490"/>
    </row>
    <row r="904" spans="1:9" ht="12.75" customHeight="1">
      <c r="A904" s="1847" t="s">
        <v>1791</v>
      </c>
      <c r="B904" s="1847"/>
      <c r="C904" s="1847"/>
      <c r="D904" s="1847"/>
      <c r="E904" s="1847"/>
      <c r="F904" s="1847"/>
      <c r="G904" s="1847"/>
      <c r="H904" s="1023"/>
      <c r="I904" s="1147"/>
    </row>
    <row r="905" spans="1:9" ht="12.75" customHeight="1">
      <c r="A905" s="57"/>
      <c r="B905" s="57"/>
      <c r="C905" s="57"/>
      <c r="D905" s="57"/>
      <c r="E905" s="57"/>
      <c r="F905" s="57"/>
      <c r="G905" s="57"/>
      <c r="I905" s="490"/>
    </row>
    <row r="906" spans="1:9" ht="12.75" customHeight="1">
      <c r="A906" s="57"/>
      <c r="B906" s="57"/>
      <c r="C906" s="57"/>
      <c r="D906" s="1863" t="s">
        <v>1797</v>
      </c>
      <c r="E906" s="1863"/>
      <c r="F906" s="1863"/>
      <c r="G906" s="57"/>
      <c r="I906" s="490"/>
    </row>
    <row r="907" spans="1:9" ht="12.75" customHeight="1">
      <c r="A907" s="57"/>
      <c r="B907" s="57"/>
      <c r="C907" s="57"/>
      <c r="D907" s="976"/>
      <c r="E907" s="976"/>
      <c r="F907" s="976"/>
      <c r="G907" s="57"/>
      <c r="I907" s="490"/>
    </row>
    <row r="908" spans="1:9" ht="12.75" customHeight="1">
      <c r="A908" s="57"/>
      <c r="B908" s="485" t="s">
        <v>2789</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3" t="s">
        <v>1792</v>
      </c>
      <c r="E910" s="1863"/>
      <c r="F910" s="1863"/>
      <c r="G910" s="983"/>
      <c r="I910" s="490"/>
    </row>
    <row r="911" spans="1:9" ht="12.75" customHeight="1">
      <c r="A911" s="172"/>
      <c r="B911" s="172"/>
      <c r="C911" s="172"/>
      <c r="D911" s="1839" t="s">
        <v>1762</v>
      </c>
      <c r="E911" s="1839"/>
      <c r="F911" s="1839"/>
      <c r="G911" s="983"/>
      <c r="I911" s="490"/>
    </row>
    <row r="912" spans="1:9" ht="12.75" customHeight="1">
      <c r="A912" s="984"/>
      <c r="B912" s="984"/>
      <c r="C912" s="984"/>
      <c r="D912" s="2"/>
      <c r="E912" s="983"/>
      <c r="F912" s="983"/>
      <c r="G912" s="983"/>
      <c r="I912" s="490"/>
    </row>
    <row r="913" spans="1:9" ht="12.75" customHeight="1">
      <c r="A913" s="175"/>
      <c r="B913" s="485" t="s">
        <v>2789</v>
      </c>
      <c r="C913" s="354"/>
      <c r="D913" s="1479" t="s">
        <v>1766</v>
      </c>
      <c r="E913" s="1479"/>
      <c r="F913" s="1479"/>
      <c r="G913" s="3"/>
      <c r="I913" s="490"/>
    </row>
    <row r="914" spans="1:9" ht="12.75" customHeight="1">
      <c r="A914" s="354"/>
      <c r="B914" s="354"/>
      <c r="C914" s="354"/>
      <c r="D914" s="1479"/>
      <c r="E914" s="1479"/>
      <c r="F914" s="1479"/>
      <c r="G914" s="3"/>
      <c r="I914" s="490"/>
    </row>
    <row r="915" spans="1:9" ht="12.75" customHeight="1">
      <c r="A915" s="172"/>
      <c r="B915" s="172"/>
      <c r="C915" s="172"/>
      <c r="D915" s="1479" t="s">
        <v>1765</v>
      </c>
      <c r="E915" s="1479"/>
      <c r="F915" s="1479"/>
      <c r="G915" s="983"/>
      <c r="I915" s="490"/>
    </row>
    <row r="916" spans="1:9" ht="12.75" customHeight="1">
      <c r="A916" s="172"/>
      <c r="B916" s="172"/>
      <c r="C916" s="172"/>
      <c r="D916" s="1479"/>
      <c r="E916" s="1479"/>
      <c r="F916" s="1479"/>
      <c r="G916" s="983"/>
      <c r="I916" s="490"/>
    </row>
    <row r="917" spans="1:9" ht="12.75" customHeight="1">
      <c r="A917" s="172"/>
      <c r="B917" s="172"/>
      <c r="C917" s="172"/>
      <c r="D917" s="3"/>
      <c r="E917" s="3"/>
      <c r="F917" s="983"/>
      <c r="G917" s="983"/>
      <c r="I917" s="490"/>
    </row>
    <row r="918" spans="1:9" ht="12.75" customHeight="1">
      <c r="A918" s="175"/>
      <c r="B918" s="485" t="s">
        <v>2789</v>
      </c>
      <c r="C918" s="174"/>
      <c r="D918" s="1806" t="s">
        <v>1763</v>
      </c>
      <c r="E918" s="1806"/>
      <c r="F918" s="1806"/>
      <c r="G918" s="983"/>
      <c r="I918" s="490"/>
    </row>
    <row r="919" spans="1:9" ht="12.75" customHeight="1">
      <c r="A919" s="175"/>
      <c r="B919" s="175"/>
      <c r="C919" s="174"/>
      <c r="D919" s="1806"/>
      <c r="E919" s="1806"/>
      <c r="F919" s="1806"/>
      <c r="G919" s="983"/>
      <c r="I919" s="490"/>
    </row>
    <row r="920" spans="1:9" ht="12.75" customHeight="1">
      <c r="A920" s="175"/>
      <c r="B920" s="175"/>
      <c r="C920" s="174"/>
      <c r="D920" s="1806"/>
      <c r="E920" s="1806"/>
      <c r="F920" s="1806"/>
      <c r="G920" s="983"/>
      <c r="I920" s="490"/>
    </row>
    <row r="921" spans="1:9" ht="12.75" customHeight="1">
      <c r="A921" s="175"/>
      <c r="B921" s="175"/>
      <c r="C921" s="174"/>
      <c r="D921" s="1806"/>
      <c r="E921" s="1806"/>
      <c r="F921" s="1806"/>
      <c r="G921" s="983"/>
      <c r="I921" s="490"/>
    </row>
    <row r="922" spans="1:9" ht="12.75" customHeight="1">
      <c r="A922" s="175"/>
      <c r="B922" s="175"/>
      <c r="C922" s="174"/>
      <c r="D922" s="1806"/>
      <c r="E922" s="1806"/>
      <c r="F922" s="1806"/>
      <c r="G922" s="983"/>
      <c r="I922" s="490"/>
    </row>
    <row r="923" spans="1:9" ht="12.75" customHeight="1">
      <c r="A923" s="174"/>
      <c r="B923" s="174"/>
      <c r="C923" s="174"/>
      <c r="D923" s="1806"/>
      <c r="E923" s="1806"/>
      <c r="F923" s="1806"/>
      <c r="G923" s="983"/>
      <c r="I923" s="490"/>
    </row>
    <row r="924" spans="1:9" ht="12.75" customHeight="1">
      <c r="A924" s="174"/>
      <c r="B924" s="174"/>
      <c r="C924" s="174"/>
      <c r="D924" s="1806"/>
      <c r="E924" s="1806"/>
      <c r="F924" s="1806"/>
      <c r="G924" s="983"/>
      <c r="I924" s="490"/>
    </row>
    <row r="925" spans="1:9" ht="12.75" customHeight="1">
      <c r="A925" s="174"/>
      <c r="B925" s="174"/>
      <c r="C925" s="174"/>
      <c r="D925" s="1806"/>
      <c r="E925" s="1806"/>
      <c r="F925" s="1806"/>
      <c r="G925" s="983"/>
      <c r="I925" s="490"/>
    </row>
    <row r="926" spans="1:9" ht="12.75" customHeight="1">
      <c r="A926" s="174"/>
      <c r="B926" s="174"/>
      <c r="C926" s="174"/>
      <c r="D926" s="335"/>
      <c r="E926" s="335"/>
      <c r="F926" s="335"/>
      <c r="G926" s="983"/>
      <c r="I926" s="490"/>
    </row>
    <row r="927" spans="1:9" ht="12.75" customHeight="1">
      <c r="A927" s="984"/>
      <c r="B927" s="485" t="s">
        <v>2790</v>
      </c>
      <c r="C927" s="984"/>
      <c r="D927" s="1479" t="s">
        <v>1767</v>
      </c>
      <c r="E927" s="1479"/>
      <c r="F927" s="1479"/>
      <c r="G927" s="983"/>
      <c r="I927" s="490"/>
    </row>
    <row r="928" spans="1:9" ht="12.75" customHeight="1">
      <c r="A928" s="984"/>
      <c r="B928" s="984"/>
      <c r="C928" s="984"/>
      <c r="D928" s="1479"/>
      <c r="E928" s="1479"/>
      <c r="F928" s="1479"/>
      <c r="G928" s="983"/>
      <c r="I928" s="490"/>
    </row>
    <row r="929" spans="1:9" ht="12.75" customHeight="1">
      <c r="A929" s="984"/>
      <c r="B929" s="984"/>
      <c r="C929" s="984"/>
      <c r="D929" s="983"/>
      <c r="E929" s="983"/>
      <c r="F929" s="983"/>
      <c r="G929" s="983"/>
      <c r="I929" s="490"/>
    </row>
    <row r="930" spans="1:9" ht="12.75" customHeight="1">
      <c r="A930" s="984"/>
      <c r="B930" s="485" t="s">
        <v>2790</v>
      </c>
      <c r="C930" s="984"/>
      <c r="D930" s="1829" t="s">
        <v>1768</v>
      </c>
      <c r="E930" s="1829"/>
      <c r="F930" s="1829"/>
      <c r="G930" s="983"/>
      <c r="I930" s="490"/>
    </row>
    <row r="931" spans="1:9" ht="12.75" customHeight="1">
      <c r="A931" s="984"/>
      <c r="B931" s="984"/>
      <c r="C931" s="984"/>
      <c r="D931" s="1829"/>
      <c r="E931" s="1829"/>
      <c r="F931" s="1829"/>
      <c r="G931" s="983"/>
      <c r="I931" s="490"/>
    </row>
    <row r="932" spans="1:9" ht="12.75" customHeight="1">
      <c r="A932" s="984"/>
      <c r="B932" s="984"/>
      <c r="C932" s="984"/>
      <c r="D932" s="1829"/>
      <c r="E932" s="1829"/>
      <c r="F932" s="1829"/>
      <c r="G932" s="983"/>
      <c r="I932" s="490"/>
    </row>
    <row r="933" spans="1:9" ht="12.75" customHeight="1">
      <c r="A933" s="984"/>
      <c r="B933" s="984"/>
      <c r="C933" s="984"/>
      <c r="D933" s="1829"/>
      <c r="E933" s="1829"/>
      <c r="F933" s="1829"/>
      <c r="G933" s="983"/>
      <c r="I933" s="490"/>
    </row>
    <row r="934" spans="1:9" ht="12.75" customHeight="1">
      <c r="A934" s="984"/>
      <c r="B934" s="984"/>
      <c r="C934" s="984"/>
      <c r="D934" s="118"/>
      <c r="E934" s="983"/>
      <c r="F934" s="983"/>
      <c r="G934" s="983"/>
      <c r="I934" s="490"/>
    </row>
    <row r="935" spans="1:9" ht="12.75" customHeight="1">
      <c r="A935" s="984"/>
      <c r="B935" s="485" t="s">
        <v>2790</v>
      </c>
      <c r="C935" s="984"/>
      <c r="D935" s="1839" t="s">
        <v>2025</v>
      </c>
      <c r="E935" s="1839"/>
      <c r="F935" s="1839"/>
      <c r="G935" s="983"/>
      <c r="I935" s="490"/>
    </row>
    <row r="936" spans="1:9" ht="12.75" customHeight="1">
      <c r="A936" s="984"/>
      <c r="B936" s="984"/>
      <c r="C936" s="984"/>
      <c r="D936" s="118"/>
      <c r="E936" s="983"/>
      <c r="F936" s="983"/>
      <c r="G936" s="983"/>
      <c r="I936" s="490"/>
    </row>
    <row r="937" spans="1:9" ht="12.75" customHeight="1">
      <c r="A937" s="984"/>
      <c r="B937" s="485" t="s">
        <v>2790</v>
      </c>
      <c r="C937" s="984"/>
      <c r="D937" s="1839" t="s">
        <v>2026</v>
      </c>
      <c r="E937" s="1839"/>
      <c r="F937" s="1839"/>
      <c r="G937" s="983"/>
      <c r="I937" s="490"/>
    </row>
    <row r="938" spans="1:9" ht="12.75" customHeight="1">
      <c r="A938" s="174"/>
      <c r="B938" s="174"/>
      <c r="C938" s="174"/>
      <c r="D938" s="2"/>
      <c r="E938" s="3"/>
      <c r="F938" s="983"/>
      <c r="G938" s="983"/>
      <c r="I938" s="490"/>
    </row>
    <row r="939" spans="1:9" ht="12.75" customHeight="1">
      <c r="A939" s="992"/>
      <c r="B939" s="485" t="s">
        <v>2789</v>
      </c>
      <c r="C939" s="993"/>
      <c r="D939" s="1806" t="s">
        <v>1764</v>
      </c>
      <c r="E939" s="1806"/>
      <c r="F939" s="1806"/>
      <c r="G939" s="994"/>
      <c r="I939" s="490"/>
    </row>
    <row r="940" spans="1:9" ht="12.75" customHeight="1">
      <c r="A940" s="992"/>
      <c r="B940" s="992"/>
      <c r="C940" s="993"/>
      <c r="D940" s="1806"/>
      <c r="E940" s="1806"/>
      <c r="F940" s="1806"/>
      <c r="G940" s="994"/>
      <c r="I940" s="490"/>
    </row>
    <row r="941" spans="1:9" ht="12.75" customHeight="1">
      <c r="A941" s="992"/>
      <c r="B941" s="992"/>
      <c r="C941" s="993"/>
      <c r="D941" s="1806"/>
      <c r="E941" s="1806"/>
      <c r="F941" s="1806"/>
      <c r="G941" s="994"/>
      <c r="I941" s="490"/>
    </row>
    <row r="942" spans="1:9" ht="12.75" customHeight="1">
      <c r="A942" s="992"/>
      <c r="B942" s="992"/>
      <c r="C942" s="993"/>
      <c r="D942" s="1806"/>
      <c r="E942" s="1806"/>
      <c r="F942" s="1806"/>
      <c r="G942" s="994"/>
      <c r="I942" s="490"/>
    </row>
    <row r="943" spans="1:9" ht="12.75" customHeight="1">
      <c r="A943" s="992"/>
      <c r="B943" s="992"/>
      <c r="C943" s="993"/>
      <c r="D943" s="1806"/>
      <c r="E943" s="1806"/>
      <c r="F943" s="1806"/>
      <c r="G943" s="994"/>
      <c r="I943" s="490"/>
    </row>
    <row r="944" spans="1:9" ht="12.75" customHeight="1">
      <c r="A944" s="992"/>
      <c r="B944" s="992"/>
      <c r="C944" s="993"/>
      <c r="D944" s="1806"/>
      <c r="E944" s="1806"/>
      <c r="F944" s="1806"/>
      <c r="G944" s="994"/>
      <c r="I944" s="490"/>
    </row>
    <row r="945" spans="1:9" ht="12.75" customHeight="1">
      <c r="A945" s="992"/>
      <c r="B945" s="992"/>
      <c r="C945" s="993"/>
      <c r="D945" s="1806"/>
      <c r="E945" s="1806"/>
      <c r="F945" s="1806"/>
      <c r="G945" s="994"/>
      <c r="I945" s="490"/>
    </row>
    <row r="946" spans="1:9" ht="12.75" customHeight="1">
      <c r="A946" s="992"/>
      <c r="B946" s="992"/>
      <c r="C946" s="993"/>
      <c r="D946" s="1806"/>
      <c r="E946" s="1806"/>
      <c r="F946" s="1806"/>
      <c r="G946" s="994"/>
      <c r="I946" s="490"/>
    </row>
    <row r="947" spans="1:9" ht="12.75" customHeight="1">
      <c r="A947" s="992"/>
      <c r="B947" s="992"/>
      <c r="C947" s="993"/>
      <c r="D947" s="1806"/>
      <c r="E947" s="1806"/>
      <c r="F947" s="1806"/>
      <c r="G947" s="994"/>
      <c r="I947" s="490"/>
    </row>
    <row r="948" spans="1:9" ht="12.75" customHeight="1">
      <c r="A948" s="174"/>
      <c r="B948" s="174"/>
      <c r="C948" s="174"/>
      <c r="D948" s="2"/>
      <c r="E948" s="3"/>
      <c r="F948" s="983"/>
      <c r="G948" s="983"/>
      <c r="I948" s="490"/>
    </row>
    <row r="949" spans="1:9" ht="12.75" customHeight="1">
      <c r="A949" s="175"/>
      <c r="B949" s="485" t="s">
        <v>2789</v>
      </c>
      <c r="C949" s="174"/>
      <c r="D949" s="1864" t="s">
        <v>1858</v>
      </c>
      <c r="E949" s="1864"/>
      <c r="F949" s="1864"/>
      <c r="G949" s="983"/>
      <c r="I949" s="490"/>
    </row>
    <row r="950" spans="1:9" ht="12.75" customHeight="1">
      <c r="A950" s="175"/>
      <c r="B950" s="175"/>
      <c r="C950" s="174"/>
      <c r="D950" s="1864"/>
      <c r="E950" s="1864"/>
      <c r="F950" s="1864"/>
      <c r="G950" s="983"/>
      <c r="I950" s="490"/>
    </row>
    <row r="951" spans="1:9" ht="12.75" customHeight="1">
      <c r="A951" s="175"/>
      <c r="B951" s="175"/>
      <c r="C951" s="174"/>
      <c r="D951" s="1864"/>
      <c r="E951" s="1864"/>
      <c r="F951" s="1864"/>
      <c r="G951" s="983"/>
      <c r="I951" s="490"/>
    </row>
    <row r="952" spans="1:9" ht="12.75" customHeight="1">
      <c r="A952" s="175"/>
      <c r="B952" s="175"/>
      <c r="C952" s="174"/>
      <c r="D952" s="1864"/>
      <c r="E952" s="1864"/>
      <c r="F952" s="1864"/>
      <c r="G952" s="983"/>
      <c r="I952" s="490"/>
    </row>
    <row r="953" spans="1:9" ht="12.75" customHeight="1">
      <c r="A953" s="175"/>
      <c r="B953" s="175"/>
      <c r="C953" s="174"/>
      <c r="D953" s="1864"/>
      <c r="E953" s="1864"/>
      <c r="F953" s="1864"/>
      <c r="G953" s="983"/>
      <c r="I953" s="490"/>
    </row>
    <row r="954" spans="1:9" ht="12.75" customHeight="1">
      <c r="A954" s="175"/>
      <c r="B954" s="175"/>
      <c r="C954" s="174"/>
      <c r="D954" s="1864"/>
      <c r="E954" s="1864"/>
      <c r="F954" s="1864"/>
      <c r="G954" s="983"/>
      <c r="I954" s="490"/>
    </row>
    <row r="955" spans="1:9" ht="12.75" customHeight="1">
      <c r="A955" s="175"/>
      <c r="B955" s="175"/>
      <c r="C955" s="174"/>
      <c r="D955" s="1864"/>
      <c r="E955" s="1864"/>
      <c r="F955" s="1864"/>
      <c r="G955" s="983"/>
      <c r="I955" s="490"/>
    </row>
    <row r="956" spans="1:9" ht="12.75" customHeight="1">
      <c r="A956" s="175"/>
      <c r="B956" s="175"/>
      <c r="C956" s="174"/>
      <c r="D956" s="1021"/>
      <c r="E956" s="1021"/>
      <c r="F956" s="1021"/>
      <c r="G956" s="983"/>
      <c r="I956" s="490"/>
    </row>
    <row r="957" spans="1:9" ht="12.75" customHeight="1">
      <c r="A957" s="175"/>
      <c r="B957" s="485" t="s">
        <v>2789</v>
      </c>
      <c r="C957" s="174"/>
      <c r="D957" s="1805" t="s">
        <v>2090</v>
      </c>
      <c r="E957" s="1805"/>
      <c r="F957" s="1805"/>
      <c r="G957" s="983"/>
      <c r="I957" s="490"/>
    </row>
    <row r="958" spans="1:9" ht="12.75" customHeight="1">
      <c r="A958" s="175"/>
      <c r="B958" s="175"/>
      <c r="C958" s="174"/>
      <c r="D958" s="1805"/>
      <c r="E958" s="1805"/>
      <c r="F958" s="1805"/>
      <c r="G958" s="983"/>
      <c r="I958" s="490"/>
    </row>
    <row r="959" spans="1:9" ht="12.75" customHeight="1">
      <c r="A959" s="175"/>
      <c r="B959" s="175"/>
      <c r="C959" s="174"/>
      <c r="D959" s="1805"/>
      <c r="E959" s="1805"/>
      <c r="F959" s="1805"/>
      <c r="G959" s="983"/>
      <c r="I959" s="490"/>
    </row>
    <row r="960" spans="1:9" ht="12.75" customHeight="1">
      <c r="A960" s="175"/>
      <c r="B960" s="175"/>
      <c r="C960" s="174"/>
      <c r="D960" s="1805"/>
      <c r="E960" s="1805"/>
      <c r="F960" s="1805"/>
      <c r="G960" s="983"/>
      <c r="I960" s="490"/>
    </row>
    <row r="961" spans="1:9" ht="12.75" customHeight="1">
      <c r="A961" s="175"/>
      <c r="B961" s="175"/>
      <c r="C961" s="174"/>
      <c r="D961" s="1805"/>
      <c r="E961" s="1805"/>
      <c r="F961" s="1805"/>
      <c r="G961" s="983"/>
      <c r="I961" s="490"/>
    </row>
    <row r="962" spans="1:9" ht="12.75" customHeight="1">
      <c r="A962" s="175"/>
      <c r="B962" s="175"/>
      <c r="C962" s="174"/>
      <c r="D962" s="1805"/>
      <c r="E962" s="1805"/>
      <c r="F962" s="1805"/>
      <c r="G962" s="983"/>
      <c r="I962" s="490"/>
    </row>
    <row r="963" spans="1:9" ht="12.75" customHeight="1">
      <c r="A963" s="175"/>
      <c r="B963" s="175"/>
      <c r="C963" s="174"/>
      <c r="D963" s="1021"/>
      <c r="E963" s="1021"/>
      <c r="F963" s="1021"/>
      <c r="G963" s="983"/>
      <c r="I963" s="490"/>
    </row>
    <row r="964" spans="1:9" ht="12.75" customHeight="1">
      <c r="A964" s="984"/>
      <c r="B964" s="485" t="s">
        <v>2790</v>
      </c>
      <c r="C964" s="984"/>
      <c r="D964" s="1829" t="s">
        <v>1769</v>
      </c>
      <c r="E964" s="1829"/>
      <c r="F964" s="1829"/>
      <c r="G964" s="983"/>
      <c r="I964" s="490"/>
    </row>
    <row r="965" spans="1:9" ht="12.75" customHeight="1">
      <c r="A965" s="984"/>
      <c r="B965" s="984"/>
      <c r="C965" s="984"/>
      <c r="D965" s="1829"/>
      <c r="E965" s="1829"/>
      <c r="F965" s="1829"/>
      <c r="G965" s="983"/>
      <c r="I965" s="490"/>
    </row>
    <row r="966" spans="1:9" ht="12.75" customHeight="1">
      <c r="A966" s="984"/>
      <c r="B966" s="984"/>
      <c r="C966" s="984"/>
      <c r="D966" s="1829"/>
      <c r="E966" s="1829"/>
      <c r="F966" s="1829"/>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1267"/>
      <c r="C969" s="174"/>
      <c r="D969" s="1806" t="s">
        <v>1857</v>
      </c>
      <c r="E969" s="1806"/>
      <c r="F969" s="1806"/>
      <c r="G969" s="983"/>
      <c r="I969" s="490"/>
    </row>
    <row r="970" spans="1:9" ht="12.75" customHeight="1">
      <c r="A970" s="175"/>
      <c r="B970" s="175"/>
      <c r="C970" s="174"/>
      <c r="D970" s="1806"/>
      <c r="E970" s="1806"/>
      <c r="F970" s="1806"/>
      <c r="G970" s="983"/>
      <c r="I970" s="490"/>
    </row>
    <row r="971" spans="1:9" ht="12.75" customHeight="1">
      <c r="A971" s="175"/>
      <c r="B971" s="175"/>
      <c r="C971" s="174"/>
      <c r="D971" s="1806"/>
      <c r="E971" s="1806"/>
      <c r="F971" s="1806"/>
      <c r="G971" s="983"/>
      <c r="I971" s="490"/>
    </row>
    <row r="972" spans="1:9" ht="12.75" customHeight="1">
      <c r="A972" s="175"/>
      <c r="B972" s="175"/>
      <c r="C972" s="174"/>
      <c r="D972" s="1806"/>
      <c r="E972" s="1806"/>
      <c r="F972" s="1806"/>
      <c r="G972" s="983"/>
      <c r="I972" s="490"/>
    </row>
    <row r="973" spans="1:9" ht="12.75" customHeight="1">
      <c r="A973" s="984"/>
      <c r="B973" s="984"/>
      <c r="C973" s="984"/>
      <c r="D973" s="975"/>
      <c r="E973" s="975"/>
      <c r="F973" s="975"/>
      <c r="G973" s="975"/>
      <c r="I973" s="490"/>
    </row>
    <row r="974" spans="1:9" ht="12.75" customHeight="1">
      <c r="A974" s="354"/>
      <c r="B974" s="354"/>
      <c r="C974" s="354"/>
      <c r="D974" s="1859" t="s">
        <v>1770</v>
      </c>
      <c r="E974" s="1859"/>
      <c r="F974" s="1859"/>
      <c r="G974" s="3"/>
      <c r="I974" s="490"/>
    </row>
    <row r="975" spans="1:9" ht="12.75" customHeight="1">
      <c r="A975" s="175"/>
      <c r="B975" s="485" t="s">
        <v>2790</v>
      </c>
      <c r="C975" s="354"/>
      <c r="D975" s="1839" t="s">
        <v>1793</v>
      </c>
      <c r="E975" s="1839"/>
      <c r="F975" s="1839"/>
      <c r="G975" s="3"/>
      <c r="I975" s="490"/>
    </row>
    <row r="976" spans="1:9" ht="12.75" customHeight="1">
      <c r="A976" s="354"/>
      <c r="B976" s="354"/>
      <c r="C976" s="354"/>
      <c r="D976" s="3"/>
      <c r="E976" s="3"/>
      <c r="F976" s="3"/>
      <c r="G976" s="3"/>
      <c r="I976" s="490"/>
    </row>
    <row r="977" spans="1:9" ht="12.75" customHeight="1">
      <c r="A977" s="354"/>
      <c r="B977" s="354"/>
      <c r="C977" s="354"/>
      <c r="D977" s="1859" t="s">
        <v>1771</v>
      </c>
      <c r="E977" s="1859"/>
      <c r="F977" s="1859"/>
      <c r="G977"/>
      <c r="I977" s="490"/>
    </row>
    <row r="978" spans="1:9" ht="12.75" customHeight="1">
      <c r="A978" s="175"/>
      <c r="B978" s="485" t="s">
        <v>2789</v>
      </c>
      <c r="C978" s="354"/>
      <c r="D978" s="1479" t="s">
        <v>2027</v>
      </c>
      <c r="E978" s="1479"/>
      <c r="F978" s="1479"/>
      <c r="G978"/>
      <c r="I978" s="490"/>
    </row>
    <row r="979" spans="1:9" ht="12.75" customHeight="1">
      <c r="A979" s="175"/>
      <c r="B979" s="175"/>
      <c r="C979" s="354"/>
      <c r="D979" s="1479"/>
      <c r="E979" s="1479"/>
      <c r="F979" s="1479"/>
      <c r="G979"/>
      <c r="I979" s="490"/>
    </row>
    <row r="980" spans="1:9" ht="12.75" customHeight="1">
      <c r="A980" s="175"/>
      <c r="B980" s="175"/>
      <c r="C980" s="354"/>
      <c r="D980" s="1479"/>
      <c r="E980" s="1479"/>
      <c r="F980" s="1479"/>
      <c r="G980"/>
      <c r="I980" s="490"/>
    </row>
    <row r="981" spans="1:9" ht="12.75" customHeight="1">
      <c r="A981" s="175"/>
      <c r="B981" s="175"/>
      <c r="C981" s="354"/>
      <c r="D981" s="1479"/>
      <c r="E981" s="1479"/>
      <c r="F981" s="1479"/>
      <c r="G981"/>
      <c r="I981" s="490"/>
    </row>
    <row r="982" spans="1:9" ht="12.75" customHeight="1">
      <c r="A982" s="175"/>
      <c r="B982" s="175"/>
      <c r="C982" s="354"/>
      <c r="D982" s="1479"/>
      <c r="E982" s="1479"/>
      <c r="F982" s="1479"/>
      <c r="G982"/>
      <c r="I982" s="490"/>
    </row>
    <row r="983" spans="1:9" ht="12.75" customHeight="1">
      <c r="A983" s="175"/>
      <c r="B983" s="175"/>
      <c r="C983" s="354"/>
      <c r="D983" s="1479"/>
      <c r="E983" s="1479"/>
      <c r="F983" s="1479"/>
      <c r="G983"/>
      <c r="I983" s="490"/>
    </row>
    <row r="984" spans="1:9" ht="12.75" customHeight="1">
      <c r="A984" s="175"/>
      <c r="B984" s="175"/>
      <c r="C984" s="354"/>
      <c r="D984" s="1479"/>
      <c r="E984" s="1479"/>
      <c r="F984" s="1479"/>
      <c r="G984"/>
      <c r="I984" s="490"/>
    </row>
    <row r="985" spans="1:9" ht="12.75" customHeight="1">
      <c r="A985" s="175"/>
      <c r="B985" s="175"/>
      <c r="C985" s="354"/>
      <c r="D985" s="1479"/>
      <c r="E985" s="1479"/>
      <c r="F985" s="1479"/>
      <c r="G985"/>
      <c r="I985" s="490"/>
    </row>
    <row r="986" spans="1:9" ht="12.75" customHeight="1">
      <c r="A986" s="175"/>
      <c r="B986" s="175"/>
      <c r="C986" s="354"/>
      <c r="D986" s="1479"/>
      <c r="E986" s="1479"/>
      <c r="F986" s="1479"/>
      <c r="G986"/>
      <c r="I986" s="490"/>
    </row>
    <row r="987" spans="1:9" ht="12.75" customHeight="1">
      <c r="A987" s="175"/>
      <c r="B987" s="175"/>
      <c r="C987" s="354"/>
      <c r="D987" s="1479"/>
      <c r="E987" s="1479"/>
      <c r="F987" s="1479"/>
      <c r="G987"/>
      <c r="I987" s="490"/>
    </row>
    <row r="988" spans="1:9" ht="12.75" customHeight="1">
      <c r="A988" s="175"/>
      <c r="B988" s="175"/>
      <c r="C988" s="354"/>
      <c r="D988" s="1479"/>
      <c r="E988" s="1479"/>
      <c r="F988" s="1479"/>
      <c r="G988"/>
      <c r="I988" s="490"/>
    </row>
    <row r="989" spans="1:9" ht="12.75" customHeight="1">
      <c r="A989" s="175"/>
      <c r="B989" s="175"/>
      <c r="C989" s="354"/>
      <c r="D989" s="1479"/>
      <c r="E989" s="1479"/>
      <c r="F989" s="1479"/>
      <c r="G989"/>
      <c r="I989" s="490"/>
    </row>
    <row r="990" spans="1:9" ht="12.75" customHeight="1">
      <c r="A990" s="175"/>
      <c r="B990" s="175"/>
      <c r="C990" s="354"/>
      <c r="D990" s="1479"/>
      <c r="E990" s="1479"/>
      <c r="F990" s="1479"/>
      <c r="G990"/>
      <c r="I990" s="490"/>
    </row>
    <row r="991" spans="1:9" ht="12.75" customHeight="1">
      <c r="A991" s="175"/>
      <c r="B991" s="175"/>
      <c r="C991" s="354"/>
      <c r="D991" s="1479"/>
      <c r="E991" s="1479"/>
      <c r="F991" s="1479"/>
      <c r="G991"/>
      <c r="I991" s="490"/>
    </row>
    <row r="992" spans="1:9" ht="12.75" customHeight="1">
      <c r="A992" s="175"/>
      <c r="B992" s="175"/>
      <c r="C992" s="354"/>
      <c r="D992" s="1479"/>
      <c r="E992" s="1479"/>
      <c r="F992" s="1479"/>
      <c r="G992" s="3"/>
      <c r="I992" s="490"/>
    </row>
    <row r="993" spans="1:9" ht="12.75" customHeight="1">
      <c r="A993" s="354"/>
      <c r="B993" s="354"/>
      <c r="C993" s="354"/>
      <c r="D993" s="3"/>
      <c r="E993" s="3"/>
      <c r="F993" s="3"/>
      <c r="G993" s="3"/>
      <c r="I993" s="490"/>
    </row>
    <row r="994" spans="1:9" ht="12.75" customHeight="1">
      <c r="A994" s="1847" t="s">
        <v>1772</v>
      </c>
      <c r="B994" s="1847"/>
      <c r="C994" s="1847"/>
      <c r="D994" s="1847"/>
      <c r="E994" s="1847"/>
      <c r="F994" s="1847"/>
      <c r="G994" s="1847"/>
      <c r="H994" s="1023"/>
      <c r="I994" s="1147"/>
    </row>
    <row r="995" spans="1:9" ht="12.75" customHeight="1">
      <c r="A995" s="118"/>
      <c r="B995" s="118"/>
      <c r="C995" s="354"/>
      <c r="D995" s="3"/>
      <c r="E995" s="3"/>
      <c r="F995" s="3"/>
      <c r="G995" s="3"/>
      <c r="I995" s="490"/>
    </row>
    <row r="996" spans="1:9" ht="12.75" customHeight="1">
      <c r="A996" s="354"/>
      <c r="B996" s="354"/>
      <c r="C996" s="984"/>
      <c r="D996" s="1859" t="s">
        <v>1794</v>
      </c>
      <c r="E996" s="1859"/>
      <c r="F996" s="1859"/>
      <c r="G996" s="3"/>
      <c r="I996" s="490"/>
    </row>
    <row r="997" spans="1:9" ht="12.75" customHeight="1">
      <c r="A997" s="172"/>
      <c r="B997" s="172"/>
      <c r="C997" s="172"/>
      <c r="D997" s="1839" t="s">
        <v>1773</v>
      </c>
      <c r="E997" s="1839"/>
      <c r="F997" s="1839"/>
      <c r="G997" s="3"/>
      <c r="I997" s="490"/>
    </row>
    <row r="998" spans="1:9" ht="12.75" customHeight="1">
      <c r="A998" s="172"/>
      <c r="B998" s="172"/>
      <c r="C998" s="172"/>
      <c r="D998" s="3"/>
      <c r="E998" s="3"/>
      <c r="F998" s="983"/>
      <c r="G998"/>
      <c r="I998" s="490"/>
    </row>
    <row r="999" spans="1:9" ht="12.75" customHeight="1">
      <c r="A999" s="354"/>
      <c r="B999" s="485" t="s">
        <v>2789</v>
      </c>
      <c r="C999" s="354"/>
      <c r="D999" s="1867" t="s">
        <v>1886</v>
      </c>
      <c r="E999" s="1867"/>
      <c r="F999" s="1867"/>
      <c r="G999"/>
      <c r="I999" s="490"/>
    </row>
    <row r="1000" spans="1:9" ht="12.75" customHeight="1">
      <c r="A1000" s="354"/>
      <c r="B1000" s="354"/>
      <c r="C1000" s="354"/>
      <c r="D1000" s="1867"/>
      <c r="E1000" s="1867"/>
      <c r="F1000" s="1867"/>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11" t="s">
        <v>1885</v>
      </c>
      <c r="E1002" s="1511"/>
      <c r="F1002" s="1511"/>
      <c r="G1002"/>
      <c r="I1002" s="490"/>
    </row>
    <row r="1003" spans="1:9" ht="12.75" customHeight="1">
      <c r="A1003" s="354"/>
      <c r="B1003" s="354"/>
      <c r="C1003" s="354"/>
      <c r="D1003" s="1511"/>
      <c r="E1003" s="1511"/>
      <c r="F1003" s="1511"/>
      <c r="G1003"/>
      <c r="I1003" s="490"/>
    </row>
    <row r="1004" spans="1:9" ht="12.75" customHeight="1">
      <c r="A1004" s="174"/>
      <c r="B1004" s="174"/>
      <c r="C1004" s="174"/>
      <c r="D1004" s="1511"/>
      <c r="E1004" s="1511"/>
      <c r="F1004" s="1511"/>
      <c r="G1004"/>
      <c r="I1004" s="490"/>
    </row>
    <row r="1005" spans="1:9" ht="12.75" customHeight="1">
      <c r="A1005" s="174"/>
      <c r="B1005" s="174"/>
      <c r="C1005" s="174"/>
      <c r="D1005" s="1511"/>
      <c r="E1005" s="1511"/>
      <c r="F1005" s="1511"/>
      <c r="G1005"/>
      <c r="I1005" s="490"/>
    </row>
    <row r="1006" spans="1:9" ht="12.75" customHeight="1">
      <c r="A1006" s="174"/>
      <c r="B1006" s="174"/>
      <c r="C1006" s="174"/>
      <c r="D1006" s="335"/>
      <c r="E1006" s="335"/>
      <c r="F1006" s="335"/>
      <c r="G1006"/>
      <c r="I1006" s="490"/>
    </row>
    <row r="1007" spans="1:9" ht="12.75" customHeight="1">
      <c r="A1007" s="174"/>
      <c r="B1007" s="485" t="s">
        <v>2790</v>
      </c>
      <c r="C1007" s="174"/>
      <c r="D1007" s="1479" t="s">
        <v>1774</v>
      </c>
      <c r="E1007" s="1479"/>
      <c r="F1007" s="1479"/>
      <c r="G1007"/>
      <c r="I1007" s="490"/>
    </row>
    <row r="1008" spans="1:9" ht="12.75" customHeight="1">
      <c r="A1008" s="174"/>
      <c r="B1008" s="174"/>
      <c r="C1008" s="174"/>
      <c r="D1008" s="1479"/>
      <c r="E1008" s="1479"/>
      <c r="F1008" s="1479"/>
      <c r="G1008"/>
      <c r="I1008" s="490"/>
    </row>
    <row r="1009" spans="1:9" ht="12.75" customHeight="1">
      <c r="A1009" s="174"/>
      <c r="B1009" s="174"/>
      <c r="C1009" s="174"/>
      <c r="D1009" s="1479"/>
      <c r="E1009" s="1479"/>
      <c r="F1009" s="1479"/>
      <c r="G1009"/>
      <c r="I1009" s="490"/>
    </row>
    <row r="1010" spans="1:9" ht="12.75" customHeight="1">
      <c r="A1010" s="174"/>
      <c r="B1010" s="174"/>
      <c r="C1010" s="174"/>
      <c r="D1010" s="1479"/>
      <c r="E1010" s="1479"/>
      <c r="F1010" s="1479"/>
      <c r="G1010"/>
      <c r="I1010" s="490"/>
    </row>
    <row r="1011" spans="1:9" ht="12.75" customHeight="1">
      <c r="A1011" s="174"/>
      <c r="B1011" s="174"/>
      <c r="C1011" s="174"/>
      <c r="D1011" s="441"/>
      <c r="E1011" s="441"/>
      <c r="F1011" s="441"/>
      <c r="G1011"/>
      <c r="I1011" s="490"/>
    </row>
    <row r="1012" spans="1:9" ht="12.75" customHeight="1">
      <c r="A1012" s="174"/>
      <c r="B1012" s="485" t="s">
        <v>2790</v>
      </c>
      <c r="C1012" s="174"/>
      <c r="D1012" s="1479" t="s">
        <v>2181</v>
      </c>
      <c r="E1012" s="1479"/>
      <c r="F1012" s="1479"/>
      <c r="G1012"/>
      <c r="I1012" s="490"/>
    </row>
    <row r="1013" spans="1:9" ht="12.75" customHeight="1">
      <c r="A1013" s="174"/>
      <c r="B1013" s="174"/>
      <c r="C1013" s="174"/>
      <c r="D1013" s="1479"/>
      <c r="E1013" s="1479"/>
      <c r="F1013" s="1479"/>
      <c r="G1013"/>
      <c r="I1013" s="490"/>
    </row>
    <row r="1014" spans="1:9" ht="12.75" customHeight="1">
      <c r="A1014" s="174"/>
      <c r="B1014" s="174"/>
      <c r="C1014" s="174"/>
      <c r="D1014" s="441"/>
      <c r="E1014" s="441"/>
      <c r="F1014" s="441"/>
      <c r="G1014"/>
      <c r="I1014" s="490"/>
    </row>
    <row r="1015" spans="1:9" ht="12.75" customHeight="1">
      <c r="A1015" s="175"/>
      <c r="B1015" s="485" t="s">
        <v>2790</v>
      </c>
      <c r="C1015" s="354"/>
      <c r="D1015" s="1839" t="s">
        <v>1775</v>
      </c>
      <c r="E1015" s="1839"/>
      <c r="F1015" s="1839"/>
      <c r="G1015"/>
      <c r="I1015" s="490"/>
    </row>
    <row r="1016" spans="1:9" ht="12.75" customHeight="1">
      <c r="A1016" s="354"/>
      <c r="B1016" s="354"/>
      <c r="C1016" s="354"/>
      <c r="D1016" s="3"/>
      <c r="E1016" s="3"/>
      <c r="F1016" s="3"/>
      <c r="G1016"/>
      <c r="I1016" s="490"/>
    </row>
    <row r="1017" spans="1:9" ht="12.75" customHeight="1">
      <c r="A1017" s="175"/>
      <c r="B1017" s="485" t="s">
        <v>2790</v>
      </c>
      <c r="C1017" s="354"/>
      <c r="D1017" s="1839" t="s">
        <v>1776</v>
      </c>
      <c r="E1017" s="1839"/>
      <c r="F1017" s="1839"/>
      <c r="G1017"/>
      <c r="I1017" s="490"/>
    </row>
    <row r="1018" spans="1:9" ht="12.75" customHeight="1">
      <c r="A1018" s="354"/>
      <c r="B1018" s="354"/>
      <c r="C1018" s="354"/>
      <c r="D1018" s="118"/>
      <c r="E1018" s="3"/>
      <c r="F1018" s="3"/>
      <c r="G1018"/>
      <c r="I1018" s="490"/>
    </row>
    <row r="1019" spans="1:9" ht="12.75" customHeight="1">
      <c r="A1019" s="175"/>
      <c r="B1019" s="485" t="s">
        <v>2789</v>
      </c>
      <c r="C1019" s="354"/>
      <c r="D1019" s="1839" t="s">
        <v>1777</v>
      </c>
      <c r="E1019" s="1839"/>
      <c r="F1019" s="1839"/>
      <c r="G1019"/>
      <c r="I1019" s="490"/>
    </row>
    <row r="1020" spans="1:9" ht="12.75" customHeight="1">
      <c r="A1020" s="354"/>
      <c r="B1020" s="354"/>
      <c r="C1020" s="354"/>
      <c r="D1020" s="118"/>
      <c r="E1020" s="3"/>
      <c r="F1020" s="3"/>
      <c r="G1020"/>
      <c r="I1020" s="490"/>
    </row>
    <row r="1021" spans="1:9" ht="12.75" customHeight="1">
      <c r="A1021" s="175"/>
      <c r="B1021" s="485" t="s">
        <v>2789</v>
      </c>
      <c r="C1021" s="354"/>
      <c r="D1021" s="1479" t="s">
        <v>1778</v>
      </c>
      <c r="E1021" s="1479"/>
      <c r="F1021" s="1479"/>
      <c r="G1021"/>
      <c r="I1021" s="490"/>
    </row>
    <row r="1022" spans="1:9" ht="12.75" customHeight="1">
      <c r="A1022" s="175"/>
      <c r="B1022" s="175"/>
      <c r="C1022" s="354"/>
      <c r="D1022" s="1479"/>
      <c r="E1022" s="1479"/>
      <c r="F1022" s="1479"/>
      <c r="G1022"/>
      <c r="I1022" s="490"/>
    </row>
    <row r="1023" spans="1:9" ht="12.75" customHeight="1">
      <c r="A1023" s="175"/>
      <c r="B1023" s="175"/>
      <c r="C1023" s="354"/>
      <c r="D1023" s="118"/>
      <c r="E1023" s="3"/>
      <c r="F1023" s="3"/>
      <c r="G1023" s="3"/>
      <c r="I1023" s="490"/>
    </row>
    <row r="1024" spans="1:9" ht="12.75" customHeight="1">
      <c r="A1024" s="254"/>
      <c r="B1024" s="485" t="s">
        <v>2790</v>
      </c>
      <c r="C1024" s="995"/>
      <c r="D1024" s="1855" t="s">
        <v>1779</v>
      </c>
      <c r="E1024" s="1855"/>
      <c r="F1024" s="1855"/>
      <c r="G1024" s="996"/>
      <c r="I1024" s="490"/>
    </row>
    <row r="1025" spans="1:9" ht="12.75" customHeight="1">
      <c r="A1025" s="995"/>
      <c r="B1025" s="995"/>
      <c r="C1025" s="995"/>
      <c r="D1025" s="1855"/>
      <c r="E1025" s="1855"/>
      <c r="F1025" s="1855"/>
      <c r="G1025" s="996"/>
      <c r="I1025" s="490"/>
    </row>
    <row r="1026" spans="1:9" ht="12.75" customHeight="1">
      <c r="A1026" s="995"/>
      <c r="B1026" s="995"/>
      <c r="C1026" s="995"/>
      <c r="D1026" s="979"/>
      <c r="E1026" s="996"/>
      <c r="F1026" s="996"/>
      <c r="G1026" s="996"/>
      <c r="I1026" s="490"/>
    </row>
    <row r="1027" spans="1:9" ht="12.75" customHeight="1">
      <c r="A1027" s="254"/>
      <c r="B1027" s="485" t="s">
        <v>2790</v>
      </c>
      <c r="C1027" s="995"/>
      <c r="D1027" s="1868" t="s">
        <v>1780</v>
      </c>
      <c r="E1027" s="1868"/>
      <c r="F1027" s="1868"/>
      <c r="G1027" s="996"/>
      <c r="I1027" s="490"/>
    </row>
    <row r="1028" spans="1:9" ht="12.75" customHeight="1">
      <c r="A1028" s="995"/>
      <c r="B1028" s="995"/>
      <c r="C1028" s="995"/>
      <c r="D1028" s="979"/>
      <c r="E1028" s="996"/>
      <c r="F1028" s="996"/>
      <c r="G1028" s="996"/>
      <c r="I1028" s="490"/>
    </row>
    <row r="1029" spans="1:9" ht="12.75" customHeight="1">
      <c r="A1029" s="175"/>
      <c r="B1029" s="485" t="s">
        <v>2790</v>
      </c>
      <c r="C1029" s="354"/>
      <c r="D1029" s="1839" t="s">
        <v>1781</v>
      </c>
      <c r="E1029" s="1839"/>
      <c r="F1029" s="1839"/>
      <c r="G1029" s="3"/>
      <c r="I1029" s="490"/>
    </row>
    <row r="1030" spans="1:9" ht="12.75" customHeight="1">
      <c r="A1030" s="175"/>
      <c r="B1030" s="175"/>
      <c r="C1030" s="354"/>
      <c r="D1030" s="118"/>
      <c r="E1030" s="3"/>
      <c r="F1030" s="3"/>
      <c r="G1030" s="3"/>
      <c r="I1030" s="490"/>
    </row>
    <row r="1031" spans="1:9" ht="12.75" customHeight="1">
      <c r="A1031" s="175"/>
      <c r="B1031" s="485" t="s">
        <v>2790</v>
      </c>
      <c r="C1031" s="354"/>
      <c r="D1031" s="1479" t="s">
        <v>1782</v>
      </c>
      <c r="E1031" s="1479"/>
      <c r="F1031" s="1479"/>
      <c r="G1031" s="3"/>
      <c r="I1031" s="490"/>
    </row>
    <row r="1032" spans="1:9" ht="12.75" customHeight="1">
      <c r="A1032" s="175"/>
      <c r="B1032" s="175"/>
      <c r="C1032" s="354"/>
      <c r="D1032" s="1479"/>
      <c r="E1032" s="1479"/>
      <c r="F1032" s="1479"/>
      <c r="G1032" s="3"/>
      <c r="I1032" s="490"/>
    </row>
    <row r="1033" spans="1:9" ht="12.75" customHeight="1">
      <c r="A1033" s="354"/>
      <c r="B1033" s="354"/>
      <c r="C1033" s="354"/>
      <c r="D1033" s="3"/>
      <c r="E1033" s="3"/>
      <c r="F1033" s="3"/>
      <c r="G1033" s="3"/>
      <c r="I1033" s="490"/>
    </row>
    <row r="1034" spans="1:9" ht="12.75" customHeight="1">
      <c r="A1034" s="1847" t="s">
        <v>1783</v>
      </c>
      <c r="B1034" s="1847"/>
      <c r="C1034" s="1847"/>
      <c r="D1034" s="1847"/>
      <c r="E1034" s="1847"/>
      <c r="F1034" s="1847"/>
      <c r="G1034" s="1847"/>
      <c r="H1034" s="1023"/>
      <c r="I1034" s="1147"/>
    </row>
    <row r="1035" spans="1:9" ht="12.75" customHeight="1">
      <c r="A1035" s="354"/>
      <c r="B1035" s="354"/>
      <c r="C1035" s="354"/>
      <c r="D1035" s="3"/>
      <c r="E1035" s="3"/>
      <c r="F1035" s="3"/>
      <c r="G1035" s="3"/>
      <c r="I1035" s="490"/>
    </row>
    <row r="1036" spans="1:9" ht="12.75" customHeight="1">
      <c r="A1036" s="354"/>
      <c r="B1036" s="354"/>
      <c r="C1036" s="354"/>
      <c r="D1036" s="1863" t="s">
        <v>1784</v>
      </c>
      <c r="E1036" s="1863"/>
      <c r="F1036" s="1863"/>
      <c r="G1036" s="3"/>
      <c r="I1036" s="490"/>
    </row>
    <row r="1037" spans="1:9" ht="12.75" customHeight="1">
      <c r="A1037" s="354"/>
      <c r="B1037" s="354"/>
      <c r="C1037" s="354"/>
      <c r="D1037" s="1868" t="s">
        <v>1785</v>
      </c>
      <c r="E1037" s="1868"/>
      <c r="F1037" s="1868"/>
      <c r="G1037" s="3"/>
      <c r="I1037" s="490"/>
    </row>
    <row r="1038" spans="1:9" ht="12.75" customHeight="1">
      <c r="A1038" s="172"/>
      <c r="B1038" s="172"/>
      <c r="C1038" s="172"/>
      <c r="D1038" s="3"/>
      <c r="E1038" s="3"/>
      <c r="F1038" s="3"/>
      <c r="G1038" s="3"/>
      <c r="I1038" s="490"/>
    </row>
    <row r="1039" spans="1:9" ht="12.75" customHeight="1">
      <c r="A1039" s="175"/>
      <c r="B1039" s="175"/>
      <c r="C1039" s="174"/>
      <c r="D1039" s="1863" t="s">
        <v>1799</v>
      </c>
      <c r="E1039" s="1863"/>
      <c r="F1039" s="1863"/>
      <c r="G1039" s="3"/>
      <c r="I1039" s="490"/>
    </row>
    <row r="1040" spans="1:9" ht="12.75" customHeight="1">
      <c r="A1040" s="354"/>
      <c r="B1040" s="485" t="s">
        <v>2789</v>
      </c>
      <c r="C1040" s="354"/>
      <c r="D1040" s="1868" t="s">
        <v>1269</v>
      </c>
      <c r="E1040" s="1868"/>
      <c r="F1040" s="1868"/>
      <c r="G1040" s="3"/>
      <c r="I1040" s="490"/>
    </row>
    <row r="1041" spans="1:9" ht="12.75" customHeight="1">
      <c r="A1041" s="354"/>
      <c r="B1041" s="175"/>
      <c r="C1041" s="354"/>
      <c r="D1041" s="1868" t="s">
        <v>1786</v>
      </c>
      <c r="E1041" s="1868"/>
      <c r="F1041" s="1868"/>
      <c r="G1041" s="3"/>
      <c r="I1041" s="490"/>
    </row>
    <row r="1042" spans="1:9" ht="12.75" customHeight="1">
      <c r="A1042" s="354"/>
      <c r="B1042" s="354"/>
      <c r="C1042" s="354"/>
      <c r="D1042" s="1868"/>
      <c r="E1042" s="1868"/>
      <c r="F1042" s="1868"/>
      <c r="G1042" s="3"/>
      <c r="I1042" s="490"/>
    </row>
    <row r="1043" spans="1:9" ht="12.75" customHeight="1">
      <c r="A1043" s="1847" t="s">
        <v>1795</v>
      </c>
      <c r="B1043" s="1847"/>
      <c r="C1043" s="1847"/>
      <c r="D1043" s="1847"/>
      <c r="E1043" s="1847"/>
      <c r="F1043" s="1847"/>
      <c r="G1043" s="1847"/>
      <c r="H1043" s="1023"/>
      <c r="I1043" s="1147"/>
    </row>
    <row r="1044" spans="1:9" ht="12.75" customHeight="1">
      <c r="A1044" s="118"/>
      <c r="B1044" s="118"/>
      <c r="C1044" s="354"/>
      <c r="D1044" s="3"/>
      <c r="E1044" s="3"/>
      <c r="F1044" s="3"/>
      <c r="G1044" s="3"/>
      <c r="I1044" s="490"/>
    </row>
    <row r="1045" spans="1:9" ht="12.75" hidden="1" customHeight="1">
      <c r="A1045" s="118"/>
      <c r="B1045" s="402"/>
      <c r="D1045" s="1869" t="s">
        <v>1270</v>
      </c>
      <c r="E1045" s="1869"/>
      <c r="F1045" s="1869"/>
      <c r="G1045" s="3"/>
      <c r="I1045" s="490"/>
    </row>
    <row r="1046" spans="1:9" ht="12.75" hidden="1" customHeight="1">
      <c r="A1046" s="118"/>
      <c r="B1046" s="485" t="s">
        <v>307</v>
      </c>
      <c r="D1046" s="1834" t="s">
        <v>1269</v>
      </c>
      <c r="E1046" s="1834"/>
      <c r="F1046" s="1834"/>
      <c r="G1046" s="3"/>
      <c r="I1046" s="490"/>
    </row>
    <row r="1047" spans="1:9" ht="12.75" hidden="1" customHeight="1">
      <c r="A1047" s="118"/>
      <c r="B1047" s="402"/>
      <c r="D1047" s="1834" t="s">
        <v>1796</v>
      </c>
      <c r="E1047" s="1834"/>
      <c r="F1047" s="1834"/>
      <c r="G1047" s="3"/>
      <c r="I1047" s="490"/>
    </row>
    <row r="1048" spans="1:9" ht="12.75" hidden="1" customHeight="1">
      <c r="A1048" s="118"/>
      <c r="B1048" s="402"/>
      <c r="D1048" s="444"/>
      <c r="E1048" s="444"/>
      <c r="F1048" s="444"/>
      <c r="G1048" s="3"/>
      <c r="I1048" s="490"/>
    </row>
    <row r="1049" spans="1:9" ht="12.75" customHeight="1">
      <c r="A1049" s="118"/>
      <c r="B1049" s="118"/>
      <c r="C1049" s="354"/>
      <c r="D1049" s="1870" t="s">
        <v>1064</v>
      </c>
      <c r="E1049" s="1870"/>
      <c r="F1049" s="1870"/>
      <c r="G1049" s="3"/>
      <c r="I1049" s="490"/>
    </row>
    <row r="1050" spans="1:9" ht="12.75" customHeight="1">
      <c r="A1050" s="319"/>
      <c r="B1050" s="319"/>
      <c r="C1050" s="319"/>
      <c r="D1050" s="1840" t="s">
        <v>2198</v>
      </c>
      <c r="E1050" s="1840"/>
      <c r="F1050" s="1840"/>
      <c r="G1050" s="98"/>
      <c r="I1050" s="490"/>
    </row>
    <row r="1051" spans="1:9" ht="12.75" customHeight="1">
      <c r="A1051" s="175"/>
      <c r="B1051" s="485" t="s">
        <v>2790</v>
      </c>
      <c r="C1051" s="354"/>
      <c r="D1051" s="1840" t="s">
        <v>983</v>
      </c>
      <c r="E1051" s="1840"/>
      <c r="F1051" s="1840"/>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47" t="s">
        <v>2609</v>
      </c>
      <c r="B1054" s="1847"/>
      <c r="C1054" s="1847"/>
      <c r="D1054" s="1847"/>
      <c r="E1054" s="1847"/>
      <c r="F1054" s="1847"/>
      <c r="G1054" s="1847"/>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2790</v>
      </c>
      <c r="C1059" s="402"/>
      <c r="D1059" s="1821" t="s">
        <v>1800</v>
      </c>
      <c r="E1059" s="1821"/>
      <c r="F1059" s="1821"/>
      <c r="I1059" s="490"/>
    </row>
    <row r="1060" spans="1:9">
      <c r="A1060" s="402"/>
      <c r="B1060" s="402"/>
      <c r="C1060" s="402"/>
      <c r="D1060" s="1821"/>
      <c r="E1060" s="1821"/>
      <c r="F1060" s="1821"/>
      <c r="I1060" s="490"/>
    </row>
    <row r="1061" spans="1:9">
      <c r="A1061" s="402"/>
      <c r="B1061" s="402"/>
      <c r="C1061" s="402"/>
      <c r="D1061" s="1821"/>
      <c r="E1061" s="1821"/>
      <c r="F1061" s="1821"/>
      <c r="I1061" s="490"/>
    </row>
    <row r="1062" spans="1:9">
      <c r="A1062" s="402"/>
      <c r="B1062" s="402"/>
      <c r="C1062" s="402"/>
      <c r="D1062" s="1821"/>
      <c r="E1062" s="1821"/>
      <c r="F1062" s="1821"/>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2789</v>
      </c>
      <c r="C1067" s="402"/>
      <c r="D1067" s="402" t="s">
        <v>1798</v>
      </c>
      <c r="I1067" s="490"/>
    </row>
    <row r="1068" spans="1:9">
      <c r="A1068" s="402"/>
      <c r="B1068" s="402"/>
      <c r="C1068" s="402"/>
      <c r="I1068" s="490"/>
    </row>
    <row r="1069" spans="1:9">
      <c r="A1069" s="402"/>
      <c r="B1069" s="485" t="s">
        <v>2790</v>
      </c>
      <c r="C1069" s="402"/>
      <c r="D1069" s="1821" t="s">
        <v>1801</v>
      </c>
      <c r="E1069" s="1821"/>
      <c r="F1069" s="1821"/>
      <c r="I1069" s="490"/>
    </row>
    <row r="1070" spans="1:9">
      <c r="A1070" s="402"/>
      <c r="B1070" s="402"/>
      <c r="C1070" s="402"/>
      <c r="D1070" s="1821"/>
      <c r="E1070" s="1821"/>
      <c r="F1070" s="1821"/>
      <c r="I1070" s="490"/>
    </row>
    <row r="1071" spans="1:9">
      <c r="A1071" s="402"/>
      <c r="B1071" s="402"/>
      <c r="C1071" s="402"/>
      <c r="D1071" s="1821"/>
      <c r="E1071" s="1821"/>
      <c r="F1071" s="1821"/>
      <c r="I1071" s="490"/>
    </row>
    <row r="1072" spans="1:9">
      <c r="A1072" s="402"/>
      <c r="B1072" s="402"/>
      <c r="C1072" s="402"/>
      <c r="D1072" s="1821"/>
      <c r="E1072" s="1821"/>
      <c r="F1072" s="1821"/>
      <c r="I1072" s="490"/>
    </row>
    <row r="1073" spans="1:9">
      <c r="A1073" s="402"/>
      <c r="B1073" s="402"/>
      <c r="C1073" s="402"/>
      <c r="D1073" s="1821"/>
      <c r="E1073" s="1821"/>
      <c r="F1073" s="1821"/>
      <c r="I1073" s="490"/>
    </row>
    <row r="1074" spans="1:9">
      <c r="A1074" s="402"/>
      <c r="B1074" s="402"/>
      <c r="C1074" s="402"/>
      <c r="I1074" s="490"/>
    </row>
    <row r="1075" spans="1:9">
      <c r="A1075" s="1847" t="s">
        <v>1802</v>
      </c>
      <c r="B1075" s="1847"/>
      <c r="C1075" s="1847"/>
      <c r="D1075" s="1847"/>
      <c r="E1075" s="1847"/>
      <c r="F1075" s="1847"/>
      <c r="G1075" s="1847"/>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2789</v>
      </c>
      <c r="C1081" s="402"/>
      <c r="D1081" s="1801" t="s">
        <v>2615</v>
      </c>
      <c r="E1081" s="1801"/>
      <c r="F1081" s="1801"/>
      <c r="I1081" s="490"/>
    </row>
    <row r="1082" spans="1:9">
      <c r="A1082" s="402"/>
      <c r="B1082" s="402"/>
      <c r="C1082" s="402"/>
      <c r="D1082" s="1801"/>
      <c r="E1082" s="1801"/>
      <c r="F1082" s="1801"/>
      <c r="I1082" s="490"/>
    </row>
    <row r="1083" spans="1:9">
      <c r="A1083" s="402"/>
      <c r="B1083" s="402"/>
      <c r="C1083" s="402"/>
      <c r="D1083" s="527" t="s">
        <v>2614</v>
      </c>
      <c r="I1083" s="490"/>
    </row>
    <row r="1084" spans="1:9">
      <c r="A1084" s="402"/>
      <c r="B1084" s="402"/>
      <c r="C1084" s="402"/>
      <c r="D1084" s="527"/>
      <c r="I1084" s="490"/>
    </row>
    <row r="1085" spans="1:9">
      <c r="A1085" s="402"/>
      <c r="B1085" s="485" t="s">
        <v>2790</v>
      </c>
      <c r="C1085" s="402"/>
      <c r="D1085" s="119" t="s">
        <v>2623</v>
      </c>
      <c r="I1085" s="490"/>
    </row>
    <row r="1086" spans="1:9">
      <c r="A1086" s="402"/>
      <c r="B1086" s="402"/>
      <c r="C1086" s="402"/>
      <c r="D1086" s="1479" t="s">
        <v>2625</v>
      </c>
      <c r="E1086" s="1479"/>
      <c r="F1086" s="1479"/>
      <c r="I1086" s="490"/>
    </row>
    <row r="1087" spans="1:9">
      <c r="A1087" s="402"/>
      <c r="B1087" s="402"/>
      <c r="C1087" s="402"/>
      <c r="D1087" s="1479"/>
      <c r="E1087" s="1479"/>
      <c r="F1087" s="1479"/>
      <c r="I1087" s="490"/>
    </row>
    <row r="1088" spans="1:9">
      <c r="A1088" s="402"/>
      <c r="B1088" s="402"/>
      <c r="C1088" s="402"/>
      <c r="D1088" s="1479"/>
      <c r="E1088" s="1479"/>
      <c r="F1088" s="1479"/>
      <c r="I1088" s="490"/>
    </row>
    <row r="1089" spans="1:9">
      <c r="A1089" s="402"/>
      <c r="B1089" s="402"/>
      <c r="C1089" s="402"/>
      <c r="D1089" s="1479"/>
      <c r="E1089" s="1479"/>
      <c r="F1089" s="1479"/>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2790</v>
      </c>
      <c r="C1093" s="402"/>
      <c r="D1093" s="1865" t="s">
        <v>1804</v>
      </c>
      <c r="E1093" s="1865"/>
      <c r="F1093" s="1865"/>
      <c r="I1093" s="490"/>
    </row>
    <row r="1094" spans="1:9">
      <c r="A1094" s="402"/>
      <c r="B1094" s="402"/>
      <c r="C1094" s="402"/>
      <c r="D1094" s="1865"/>
      <c r="E1094" s="1865"/>
      <c r="F1094" s="1865"/>
      <c r="I1094" s="490"/>
    </row>
    <row r="1095" spans="1:9">
      <c r="A1095" s="402"/>
      <c r="B1095" s="402"/>
      <c r="C1095" s="402"/>
      <c r="D1095" s="1865"/>
      <c r="E1095" s="1865"/>
      <c r="F1095" s="1865"/>
      <c r="I1095" s="490"/>
    </row>
    <row r="1096" spans="1:9">
      <c r="A1096" s="402"/>
      <c r="B1096" s="402"/>
      <c r="C1096" s="402"/>
      <c r="D1096" s="1865"/>
      <c r="E1096" s="1865"/>
      <c r="F1096" s="1865"/>
      <c r="I1096" s="490"/>
    </row>
    <row r="1097" spans="1:9">
      <c r="A1097" s="402"/>
      <c r="B1097" s="402"/>
      <c r="C1097" s="402"/>
      <c r="D1097" s="1865"/>
      <c r="E1097" s="1865"/>
      <c r="F1097" s="1865"/>
      <c r="I1097" s="490"/>
    </row>
    <row r="1098" spans="1:9">
      <c r="A1098" s="402"/>
      <c r="B1098" s="402"/>
      <c r="C1098" s="402"/>
      <c r="D1098" s="527" t="s">
        <v>2626</v>
      </c>
      <c r="I1098" s="490"/>
    </row>
    <row r="1099" spans="1:9">
      <c r="A1099" s="402"/>
      <c r="B1099" s="402"/>
      <c r="C1099" s="402"/>
      <c r="I1099" s="490"/>
    </row>
    <row r="1100" spans="1:9">
      <c r="A1100" s="402"/>
      <c r="B1100" s="485" t="s">
        <v>2790</v>
      </c>
      <c r="C1100" s="402"/>
      <c r="D1100" s="1816" t="s">
        <v>2219</v>
      </c>
      <c r="E1100" s="1816"/>
      <c r="F1100" s="1816"/>
      <c r="I1100" s="490"/>
    </row>
    <row r="1101" spans="1:9">
      <c r="A1101" s="402"/>
      <c r="B1101" s="402"/>
      <c r="C1101" s="402"/>
      <c r="D1101" s="1816"/>
      <c r="E1101" s="1816"/>
      <c r="F1101" s="1816"/>
      <c r="I1101" s="490"/>
    </row>
    <row r="1102" spans="1:9">
      <c r="A1102" s="402"/>
      <c r="B1102" s="402"/>
      <c r="C1102" s="402"/>
      <c r="D1102" s="1816"/>
      <c r="E1102" s="1816"/>
      <c r="F1102" s="1816"/>
      <c r="I1102" s="490"/>
    </row>
    <row r="1103" spans="1:9">
      <c r="A1103" s="402"/>
      <c r="B1103" s="402"/>
      <c r="C1103" s="402"/>
      <c r="I1103" s="490"/>
    </row>
    <row r="1104" spans="1:9">
      <c r="A1104" s="1847" t="s">
        <v>1806</v>
      </c>
      <c r="B1104" s="1847"/>
      <c r="C1104" s="1847"/>
      <c r="D1104" s="1847"/>
      <c r="E1104" s="1847"/>
      <c r="F1104" s="1847"/>
      <c r="G1104" s="1847"/>
      <c r="H1104" s="1023"/>
      <c r="I1104" s="1147"/>
    </row>
    <row r="1105" spans="1:9">
      <c r="A1105" s="402"/>
      <c r="B1105" s="402"/>
      <c r="C1105" s="402"/>
      <c r="I1105" s="490"/>
    </row>
    <row r="1106" spans="1:9">
      <c r="A1106" s="402"/>
      <c r="B1106" s="402"/>
      <c r="C1106" s="402"/>
      <c r="I1106" s="490"/>
    </row>
    <row r="1107" spans="1:9" ht="12.75" customHeight="1">
      <c r="A1107" s="402"/>
      <c r="B1107" s="485" t="s">
        <v>2790</v>
      </c>
      <c r="C1107" s="402"/>
      <c r="D1107" s="1762" t="s">
        <v>1900</v>
      </c>
      <c r="E1107" s="1762"/>
      <c r="F1107" s="1762"/>
      <c r="I1107" s="490"/>
    </row>
    <row r="1108" spans="1:9">
      <c r="A1108" s="402"/>
      <c r="B1108" s="402"/>
      <c r="C1108" s="402"/>
      <c r="D1108" s="1762"/>
      <c r="E1108" s="1762"/>
      <c r="F1108" s="1762"/>
      <c r="I1108" s="490"/>
    </row>
    <row r="1109" spans="1:9">
      <c r="A1109" s="402"/>
      <c r="B1109" s="402"/>
      <c r="C1109" s="402"/>
      <c r="D1109" s="1866" t="s">
        <v>2630</v>
      </c>
      <c r="E1109" s="1479"/>
      <c r="F1109" s="1479"/>
      <c r="I1109" s="490"/>
    </row>
    <row r="1110" spans="1:9">
      <c r="A1110" s="402"/>
      <c r="B1110" s="402"/>
      <c r="C1110" s="402"/>
      <c r="D1110" s="527"/>
      <c r="I1110" s="490"/>
    </row>
    <row r="1111" spans="1:9">
      <c r="A1111" s="402"/>
      <c r="B1111" s="485" t="s">
        <v>2790</v>
      </c>
      <c r="C1111" s="402"/>
      <c r="D1111" s="1865" t="s">
        <v>2578</v>
      </c>
      <c r="E1111" s="1865"/>
      <c r="F1111" s="1865"/>
      <c r="I1111" s="490"/>
    </row>
    <row r="1112" spans="1:9">
      <c r="A1112" s="402"/>
      <c r="B1112" s="402"/>
      <c r="C1112" s="402"/>
      <c r="D1112" s="1865"/>
      <c r="E1112" s="1865"/>
      <c r="F1112" s="1865"/>
      <c r="I1112" s="490"/>
    </row>
    <row r="1113" spans="1:9">
      <c r="A1113" s="402"/>
      <c r="B1113" s="402"/>
      <c r="C1113" s="402"/>
      <c r="D1113" s="1865"/>
      <c r="E1113" s="1865"/>
      <c r="F1113" s="1865"/>
      <c r="I1113" s="490"/>
    </row>
    <row r="1114" spans="1:9">
      <c r="A1114" s="402"/>
      <c r="B1114" s="402"/>
      <c r="C1114" s="402"/>
      <c r="D1114" s="527"/>
      <c r="I1114" s="490"/>
    </row>
    <row r="1115" spans="1:9">
      <c r="A1115" s="402"/>
      <c r="B1115" s="485" t="s">
        <v>2790</v>
      </c>
      <c r="C1115" s="402"/>
      <c r="D1115" s="1865" t="s">
        <v>2597</v>
      </c>
      <c r="E1115" s="1865"/>
      <c r="F1115" s="1865"/>
      <c r="I1115" s="490"/>
    </row>
    <row r="1116" spans="1:9">
      <c r="A1116" s="402"/>
      <c r="B1116" s="402"/>
      <c r="C1116" s="402"/>
      <c r="D1116" s="1865"/>
      <c r="E1116" s="1865"/>
      <c r="F1116" s="1865"/>
      <c r="I1116" s="490"/>
    </row>
    <row r="1117" spans="1:9">
      <c r="A1117" s="402"/>
      <c r="B1117" s="402"/>
      <c r="C1117" s="402"/>
      <c r="D1117" s="1865"/>
      <c r="E1117" s="1865"/>
      <c r="F1117" s="1865"/>
      <c r="I1117" s="490"/>
    </row>
    <row r="1118" spans="1:9">
      <c r="A1118" s="402"/>
      <c r="B1118" s="402"/>
      <c r="C1118" s="402"/>
      <c r="D1118" s="1865"/>
      <c r="E1118" s="1865"/>
      <c r="F1118" s="1865"/>
      <c r="I1118" s="490"/>
    </row>
    <row r="1119" spans="1:9">
      <c r="A1119" s="402"/>
      <c r="B1119" s="402"/>
      <c r="C1119" s="402"/>
      <c r="D1119" s="1865"/>
      <c r="E1119" s="1865"/>
      <c r="F1119" s="1865"/>
      <c r="I1119" s="490"/>
    </row>
    <row r="1120" spans="1:9">
      <c r="A1120" s="402"/>
      <c r="B1120" s="402"/>
      <c r="C1120" s="402"/>
      <c r="D1120" s="527"/>
      <c r="I1120" s="480"/>
    </row>
    <row r="1121" spans="1:9">
      <c r="A1121" s="402"/>
      <c r="B1121" s="485" t="s">
        <v>2790</v>
      </c>
      <c r="C1121" s="402"/>
      <c r="D1121" s="1865" t="s">
        <v>1807</v>
      </c>
      <c r="E1121" s="1865"/>
      <c r="F1121" s="1865"/>
      <c r="I1121" s="490"/>
    </row>
    <row r="1122" spans="1:9">
      <c r="A1122" s="402"/>
      <c r="B1122" s="402"/>
      <c r="C1122" s="402"/>
      <c r="D1122" s="1865"/>
      <c r="E1122" s="1865"/>
      <c r="F1122" s="1865"/>
      <c r="I1122" s="490"/>
    </row>
    <row r="1123" spans="1:9">
      <c r="A1123" s="402"/>
      <c r="B1123" s="402"/>
      <c r="C1123" s="402"/>
      <c r="D1123" s="1865"/>
      <c r="E1123" s="1865"/>
      <c r="F1123" s="1865"/>
      <c r="I1123" s="490"/>
    </row>
    <row r="1124" spans="1:9">
      <c r="A1124" s="402"/>
      <c r="B1124" s="402"/>
      <c r="C1124" s="402"/>
      <c r="D1124" s="527"/>
      <c r="I1124" s="490"/>
    </row>
    <row r="1125" spans="1:9">
      <c r="A1125" s="402"/>
      <c r="B1125" s="485" t="s">
        <v>2789</v>
      </c>
      <c r="C1125" s="402"/>
      <c r="D1125" s="1511" t="s">
        <v>1859</v>
      </c>
      <c r="E1125" s="1511"/>
      <c r="F1125" s="1511"/>
      <c r="I1125" s="490"/>
    </row>
    <row r="1126" spans="1:9">
      <c r="A1126" s="402"/>
      <c r="B1126" s="402"/>
      <c r="C1126" s="402"/>
      <c r="D1126" s="1511"/>
      <c r="E1126" s="1511"/>
      <c r="F1126" s="1511"/>
      <c r="I1126" s="490"/>
    </row>
    <row r="1127" spans="1:9">
      <c r="A1127" s="402"/>
      <c r="B1127" s="402"/>
      <c r="C1127" s="402"/>
      <c r="D1127" s="1511"/>
      <c r="E1127" s="1511"/>
      <c r="F1127" s="1511"/>
      <c r="I1127" s="490"/>
    </row>
    <row r="1128" spans="1:9">
      <c r="A1128" s="402"/>
      <c r="B1128" s="402"/>
      <c r="C1128" s="402"/>
      <c r="D1128" s="975"/>
      <c r="E1128" s="975"/>
      <c r="F1128" s="975"/>
      <c r="I1128" s="490"/>
    </row>
    <row r="1129" spans="1:9" ht="15.75" customHeight="1">
      <c r="A1129" s="402"/>
      <c r="B1129" s="485" t="s">
        <v>2790</v>
      </c>
      <c r="C1129" s="402"/>
      <c r="D1129" s="1479" t="s">
        <v>1860</v>
      </c>
      <c r="E1129" s="1479"/>
      <c r="F1129" s="1479"/>
      <c r="I1129" s="490"/>
    </row>
    <row r="1130" spans="1:9">
      <c r="A1130" s="402"/>
      <c r="B1130" s="402"/>
      <c r="C1130" s="402"/>
      <c r="D1130" s="1479"/>
      <c r="E1130" s="1479"/>
      <c r="F1130" s="1479"/>
      <c r="I1130" s="490"/>
    </row>
    <row r="1131" spans="1:9">
      <c r="A1131" s="402"/>
      <c r="B1131" s="402"/>
      <c r="C1131" s="402"/>
      <c r="D1131" s="1479"/>
      <c r="E1131" s="1479"/>
      <c r="F1131" s="1479"/>
      <c r="I1131" s="490"/>
    </row>
    <row r="1132" spans="1:9">
      <c r="A1132" s="402"/>
      <c r="B1132" s="402"/>
      <c r="C1132" s="402"/>
      <c r="D1132" s="1479"/>
      <c r="E1132" s="1479"/>
      <c r="F1132" s="1479"/>
      <c r="I1132" s="490"/>
    </row>
    <row r="1133" spans="1:9">
      <c r="A1133" s="402"/>
      <c r="B1133" s="402"/>
      <c r="C1133" s="402"/>
      <c r="D1133" s="975"/>
      <c r="E1133" s="975"/>
      <c r="F1133" s="975"/>
      <c r="I1133" s="490"/>
    </row>
    <row r="1134" spans="1:9">
      <c r="A1134" s="402"/>
      <c r="B1134" s="485" t="s">
        <v>2790</v>
      </c>
      <c r="C1134" s="402"/>
      <c r="D1134" s="1511" t="s">
        <v>2607</v>
      </c>
      <c r="E1134" s="1511"/>
      <c r="F1134" s="1511"/>
      <c r="I1134" s="490"/>
    </row>
    <row r="1135" spans="1:9">
      <c r="A1135" s="402"/>
      <c r="B1135" s="402"/>
      <c r="C1135" s="402"/>
      <c r="D1135" s="1511"/>
      <c r="E1135" s="1511"/>
      <c r="F1135" s="1511"/>
      <c r="I1135" s="490"/>
    </row>
    <row r="1136" spans="1:9">
      <c r="A1136" s="402"/>
      <c r="B1136" s="402"/>
      <c r="C1136" s="402"/>
      <c r="D1136" s="1511"/>
      <c r="E1136" s="1511"/>
      <c r="F1136" s="1511"/>
      <c r="I1136" s="490"/>
    </row>
    <row r="1137" spans="1:9">
      <c r="A1137" s="402"/>
      <c r="B1137" s="402"/>
      <c r="C1137" s="402"/>
      <c r="D1137" s="1511"/>
      <c r="E1137" s="1511"/>
      <c r="F1137" s="1511"/>
      <c r="I1137" s="490"/>
    </row>
    <row r="1138" spans="1:9">
      <c r="A1138" s="402"/>
      <c r="B1138" s="402"/>
      <c r="C1138" s="402"/>
      <c r="D1138" s="1511"/>
      <c r="E1138" s="1511"/>
      <c r="F1138" s="1511"/>
      <c r="I1138" s="490"/>
    </row>
    <row r="1139" spans="1:9">
      <c r="A1139" s="402"/>
      <c r="B1139" s="402"/>
      <c r="C1139" s="402"/>
      <c r="D1139" s="1511"/>
      <c r="E1139" s="1511"/>
      <c r="F1139" s="1511"/>
      <c r="I1139" s="490"/>
    </row>
    <row r="1140" spans="1:9">
      <c r="A1140" s="402"/>
      <c r="B1140" s="402"/>
      <c r="C1140" s="402"/>
      <c r="D1140" s="975"/>
      <c r="E1140" s="975"/>
      <c r="F1140" s="975"/>
      <c r="I1140" s="490"/>
    </row>
    <row r="1141" spans="1:9">
      <c r="A1141" s="402"/>
      <c r="B1141" s="485" t="s">
        <v>2790</v>
      </c>
      <c r="C1141" s="402"/>
      <c r="D1141" s="1821" t="s">
        <v>2579</v>
      </c>
      <c r="E1141" s="1821"/>
      <c r="F1141" s="1821"/>
      <c r="I1141" s="1153"/>
    </row>
    <row r="1142" spans="1:9">
      <c r="A1142" s="402"/>
      <c r="B1142" s="402"/>
      <c r="C1142" s="402"/>
      <c r="D1142" s="1821"/>
      <c r="E1142" s="1821"/>
      <c r="F1142" s="1821"/>
      <c r="I1142" s="490"/>
    </row>
    <row r="1143" spans="1:9">
      <c r="A1143" s="402"/>
      <c r="B1143" s="402"/>
      <c r="C1143" s="402"/>
      <c r="D1143" s="1821"/>
      <c r="E1143" s="1821"/>
      <c r="F1143" s="1821"/>
    </row>
    <row r="1144" spans="1:9">
      <c r="A1144" s="402"/>
      <c r="B1144" s="402"/>
      <c r="C1144" s="402"/>
      <c r="D1144" s="1821"/>
      <c r="E1144" s="1821"/>
      <c r="F1144" s="1821"/>
    </row>
    <row r="1145" spans="1:9">
      <c r="A1145" s="402"/>
      <c r="B1145" s="402"/>
      <c r="C1145" s="402"/>
      <c r="D1145" s="1821"/>
      <c r="E1145" s="1821"/>
      <c r="F1145" s="182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3"/>
      <c r="H1553" s="1833"/>
      <c r="I1553" s="1833"/>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1007 B913 B927 B930 B935 B937 B964 B975 B978 B999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45" zoomScaleNormal="100" workbookViewId="0">
      <selection activeCell="J394" sqref="J394:U39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Balance of Los Angeles County</v>
      </c>
    </row>
    <row r="4" spans="1:58" ht="12.95" customHeight="1">
      <c r="BD4" s="3" t="s">
        <v>2434</v>
      </c>
      <c r="BE4" s="1180"/>
    </row>
    <row r="5" spans="1:58" ht="12.95" customHeight="1">
      <c r="BD5" s="3" t="s">
        <v>2435</v>
      </c>
      <c r="BE5">
        <f>SUMIF($AC$726:$AC$760,"&lt;=20%",$G$726:G$760)</f>
        <v>0</v>
      </c>
      <c r="BF5" s="3" t="s">
        <v>2440</v>
      </c>
    </row>
    <row r="6" spans="1:58" ht="12.95" customHeight="1">
      <c r="BD6" s="3" t="s">
        <v>2436</v>
      </c>
      <c r="BE6" s="1183">
        <f>SUMIF($AC$726:$AC$760,"&lt;=25%",$G$726:G$760)-SUM($BE$5:BE5)</f>
        <v>0</v>
      </c>
    </row>
    <row r="7" spans="1:58" ht="12.95" customHeight="1">
      <c r="BD7" s="1181" t="s">
        <v>2428</v>
      </c>
      <c r="BE7" s="1183">
        <f>SUMIF($AC$726:$AC$760,"&lt;=30%",$G$726:G$760)-SUM($BE$5:BE6)</f>
        <v>16</v>
      </c>
    </row>
    <row r="8" spans="1:58" ht="26.25" customHeight="1">
      <c r="A8" s="1758" t="s">
        <v>100</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894"/>
      <c r="AV8" s="894"/>
      <c r="AW8" s="894"/>
      <c r="AX8" s="894"/>
      <c r="AY8" s="894"/>
      <c r="BD8" s="3" t="s">
        <v>2437</v>
      </c>
      <c r="BE8" s="1183">
        <f>SUMIF($AC$726:$AC$760,"&lt;=35%",$G$726:G$760)-SUM($BE$5:BE7)</f>
        <v>0</v>
      </c>
    </row>
    <row r="9" spans="1:58" ht="12.95" customHeight="1">
      <c r="A9" s="1759" t="s">
        <v>2030</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3"/>
      <c r="AV9" s="13"/>
      <c r="AW9" s="13"/>
      <c r="AX9" s="13"/>
      <c r="AY9" s="13"/>
      <c r="BD9" s="1182" t="s">
        <v>2429</v>
      </c>
      <c r="BE9" s="1183">
        <f>SUMIF($AC$726:$AC$760,"&lt;=40%",$G$726:G$760)-SUM($BE$5:BE8)</f>
        <v>0</v>
      </c>
    </row>
    <row r="10" spans="1:58" ht="12.95" customHeight="1">
      <c r="A10" s="1759" t="s">
        <v>2599</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3"/>
      <c r="AV10" s="13"/>
      <c r="AW10" s="13"/>
      <c r="AX10" s="13"/>
      <c r="AY10" s="13"/>
      <c r="BD10" s="3" t="s">
        <v>2438</v>
      </c>
      <c r="BE10" s="1183">
        <f>SUMIF($AC$726:$AC$760,"&lt;=45%",$G$726:G$760)-SUM($BE$5:BE9)</f>
        <v>0</v>
      </c>
    </row>
    <row r="11" spans="1:58" ht="12.95" customHeight="1">
      <c r="A11" s="1759" t="s">
        <v>2527</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3"/>
      <c r="AV11" s="13"/>
      <c r="AW11" s="13"/>
      <c r="AX11" s="13"/>
      <c r="AY11" s="13"/>
      <c r="BD11" s="1181" t="s">
        <v>2430</v>
      </c>
      <c r="BE11" s="1183">
        <f>SUMIF($AC$726:$AC$760,"&lt;=50%",$G$726:G$760)-SUM($BE$5:BE10)</f>
        <v>17</v>
      </c>
    </row>
    <row r="12" spans="1:58" ht="12.95" customHeight="1">
      <c r="A12" s="1760" t="s">
        <v>2634</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6"/>
      <c r="AV12" s="6"/>
      <c r="AW12" s="6"/>
      <c r="AX12" s="6"/>
      <c r="AY12" s="6"/>
      <c r="BD12" s="3" t="s">
        <v>2439</v>
      </c>
      <c r="BE12" s="1183">
        <f>SUMIF($AC$726:$AC$760,"&lt;=55%",$G$726:G$760)-SUM($BE$5:BE11)</f>
        <v>0</v>
      </c>
    </row>
    <row r="13" spans="1:58" ht="12.95" customHeight="1">
      <c r="A13" s="1400" t="s">
        <v>2031</v>
      </c>
      <c r="B13" s="1400"/>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c r="AT13" s="1400"/>
      <c r="AU13" s="895"/>
      <c r="AV13" s="895"/>
      <c r="AW13" s="895"/>
      <c r="AX13" s="895"/>
      <c r="AY13" s="895"/>
      <c r="BD13" s="1182" t="s">
        <v>2431</v>
      </c>
      <c r="BE13" s="1183">
        <f>SUMIF($AC$726:$AC$760,"&lt;=60%",$G$726:G$760)-SUM($BE$5:BE12)</f>
        <v>55</v>
      </c>
    </row>
    <row r="14" spans="1:58" ht="12.95" customHeight="1">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c r="W14" s="1400"/>
      <c r="X14" s="1400"/>
      <c r="Y14" s="1400"/>
      <c r="Z14" s="1400"/>
      <c r="AA14" s="1400"/>
      <c r="AB14" s="1400"/>
      <c r="AC14" s="1400"/>
      <c r="AD14" s="1400"/>
      <c r="AE14" s="1400"/>
      <c r="AF14" s="1400"/>
      <c r="AG14" s="1400"/>
      <c r="AH14" s="1400"/>
      <c r="AI14" s="1400"/>
      <c r="AJ14" s="1400"/>
      <c r="AK14" s="1400"/>
      <c r="AL14" s="1400"/>
      <c r="AM14" s="1400"/>
      <c r="AN14" s="1400"/>
      <c r="AO14" s="1400"/>
      <c r="AP14" s="1400"/>
      <c r="AQ14" s="1400"/>
      <c r="AR14" s="1400"/>
      <c r="AS14" s="1400"/>
      <c r="AT14" s="1400"/>
      <c r="AU14" s="895"/>
      <c r="AV14" s="895"/>
      <c r="AW14" s="895"/>
      <c r="AX14" s="895"/>
      <c r="AY14" s="895"/>
      <c r="BD14" s="1181" t="s">
        <v>2432</v>
      </c>
      <c r="BE14" s="1183">
        <f>SUMIF($AC$726:$AC$760,"&lt;=70%",$G$726:G$760)-SUM($BE$5:BE13)</f>
        <v>65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497" t="s">
        <v>2642</v>
      </c>
      <c r="I16" s="1471"/>
      <c r="J16" s="1471"/>
      <c r="K16" s="1471"/>
      <c r="L16" s="1471"/>
      <c r="M16" s="1471"/>
      <c r="N16" s="1471"/>
      <c r="O16" s="1471"/>
      <c r="P16" s="1471"/>
      <c r="Q16" s="1471"/>
      <c r="R16" s="1471"/>
      <c r="S16" s="1471"/>
      <c r="T16" s="1471"/>
      <c r="U16" s="1471"/>
      <c r="V16" s="1471"/>
      <c r="W16" s="1471"/>
      <c r="X16" s="1471"/>
      <c r="Y16" s="1471"/>
      <c r="Z16" s="1471"/>
      <c r="AA16" s="1471"/>
      <c r="AB16" s="1471"/>
      <c r="AC16" s="1471"/>
      <c r="AD16" s="1471"/>
      <c r="AE16" s="1471"/>
      <c r="AF16" s="1471"/>
      <c r="AG16" s="1471"/>
      <c r="AH16" s="1471"/>
      <c r="AI16" s="1471"/>
      <c r="AJ16" s="1471"/>
      <c r="BD16" s="1182" t="s">
        <v>655</v>
      </c>
      <c r="BE16" s="1183" t="str">
        <f>Application!H18</f>
        <v xml:space="preserve">Greenwood Colorado Apartments </v>
      </c>
    </row>
    <row r="17" spans="1:58" ht="12.95" customHeight="1">
      <c r="BD17" s="1181" t="s">
        <v>2445</v>
      </c>
      <c r="BE17" s="1183">
        <f>Application!AA943</f>
        <v>0</v>
      </c>
    </row>
    <row r="18" spans="1:58" ht="12.95" customHeight="1">
      <c r="A18" s="57" t="s">
        <v>101</v>
      </c>
      <c r="C18" s="4"/>
      <c r="D18" s="4"/>
      <c r="E18" s="4"/>
      <c r="F18" s="4"/>
      <c r="G18" s="4"/>
      <c r="H18" s="1434" t="s">
        <v>2643</v>
      </c>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BD18" s="1182" t="s">
        <v>2446</v>
      </c>
      <c r="BE18" s="1183">
        <f>AA943</f>
        <v>0</v>
      </c>
    </row>
    <row r="19" spans="1:58" ht="12.95" customHeight="1">
      <c r="BD19" s="1181" t="s">
        <v>2447</v>
      </c>
      <c r="BE19" s="1183">
        <f>Application!M26</f>
        <v>2897473</v>
      </c>
    </row>
    <row r="20" spans="1:58" ht="12.95" customHeight="1">
      <c r="A20" s="1761" t="s">
        <v>871</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896"/>
      <c r="AV20" s="896"/>
      <c r="AW20" s="896"/>
      <c r="AX20" s="896"/>
      <c r="AY20" s="896"/>
      <c r="BD20" s="1182" t="s">
        <v>2448</v>
      </c>
      <c r="BE20" s="1183">
        <f>Application!M27</f>
        <v>14000000</v>
      </c>
    </row>
    <row r="21" spans="1:58" ht="12.95" customHeight="1">
      <c r="A21" s="1783" t="s">
        <v>1007</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897"/>
      <c r="AN21" s="897"/>
      <c r="AO21" s="897"/>
      <c r="AP21" s="897"/>
      <c r="AQ21" s="897"/>
      <c r="AR21" s="897"/>
      <c r="AS21" s="897"/>
      <c r="AT21" s="897"/>
      <c r="AU21" s="897"/>
      <c r="AV21" s="897"/>
      <c r="AW21" s="897"/>
      <c r="AX21" s="897"/>
      <c r="AY21" s="897"/>
      <c r="BD21" s="1181" t="s">
        <v>2449</v>
      </c>
      <c r="BE21" s="1183">
        <f>Application!AM562</f>
        <v>15654500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64089184</v>
      </c>
      <c r="BF22" s="3" t="s">
        <v>2520</v>
      </c>
    </row>
    <row r="23" spans="1:58" ht="12.95" customHeight="1">
      <c r="A23" s="1762" t="s">
        <v>2098</v>
      </c>
      <c r="B23" s="1762"/>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c r="AU23" s="18"/>
      <c r="AV23" s="18"/>
      <c r="AW23" s="18"/>
      <c r="AX23" s="18"/>
      <c r="AY23" s="18"/>
      <c r="AZ23" s="18"/>
      <c r="BD23" s="1181" t="s">
        <v>2450</v>
      </c>
      <c r="BE23" s="1183">
        <f>'Sources and Uses Budget'!B4</f>
        <v>0</v>
      </c>
    </row>
    <row r="24" spans="1:58" ht="12.95" customHeight="1">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c r="AT24" s="1762"/>
      <c r="AU24" s="18"/>
      <c r="AV24" s="18"/>
      <c r="AW24" s="18"/>
      <c r="AX24" s="18"/>
      <c r="AY24" s="18"/>
      <c r="AZ24" s="18"/>
      <c r="BD24" s="1182" t="s">
        <v>2451</v>
      </c>
      <c r="BE24" s="1183">
        <f>Application!AG459</f>
        <v>174105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 Average Income</v>
      </c>
    </row>
    <row r="26" spans="1:58" ht="12.95" customHeight="1">
      <c r="A26" s="4"/>
      <c r="C26" s="4"/>
      <c r="D26" s="4"/>
      <c r="E26" s="4"/>
      <c r="F26" s="4"/>
      <c r="G26" s="4"/>
      <c r="H26" s="4"/>
      <c r="I26" s="4"/>
      <c r="J26" s="4"/>
      <c r="K26" s="4"/>
      <c r="L26" s="4"/>
      <c r="M26" s="1764">
        <f>'Basis &amp; Credits'!AB56</f>
        <v>2897473</v>
      </c>
      <c r="N26" s="1764"/>
      <c r="O26" s="1764"/>
      <c r="P26" s="1764"/>
      <c r="Q26" s="1764"/>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293">
        <f>'Basis &amp; Credits'!AB78</f>
        <v>14000000</v>
      </c>
      <c r="N27" s="1293"/>
      <c r="O27" s="1293"/>
      <c r="P27" s="1293"/>
      <c r="Q27" s="1293"/>
      <c r="R27" s="3" t="s">
        <v>1265</v>
      </c>
      <c r="S27" s="4"/>
      <c r="T27" s="4"/>
      <c r="U27" s="4"/>
      <c r="V27" s="4"/>
      <c r="W27" s="4"/>
      <c r="X27" s="4"/>
      <c r="Y27" s="4"/>
      <c r="Z27" s="4"/>
      <c r="AF27" s="4"/>
      <c r="AG27" s="4"/>
      <c r="AH27" s="4"/>
      <c r="AI27" s="4"/>
      <c r="AJ27" s="4"/>
      <c r="AK27" s="4"/>
      <c r="BD27" s="1181" t="s">
        <v>2051</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468" t="s">
        <v>2099</v>
      </c>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c r="AL29" s="1468"/>
      <c r="AM29" s="1468"/>
      <c r="AN29" s="1468"/>
      <c r="AO29" s="1468"/>
      <c r="AP29" s="1468"/>
      <c r="AQ29" s="1468"/>
      <c r="AR29" s="1468"/>
      <c r="AS29" s="1468"/>
      <c r="AT29" s="1468"/>
      <c r="BD29" s="1181" t="s">
        <v>2454</v>
      </c>
      <c r="BE29" s="1183" t="b">
        <f>Application!M367="Yes"</f>
        <v>0</v>
      </c>
    </row>
    <row r="30" spans="1:58" ht="12.95" customHeight="1">
      <c r="A30" s="1468"/>
      <c r="B30" s="1468"/>
      <c r="C30" s="1468"/>
      <c r="D30" s="1468"/>
      <c r="E30" s="1468"/>
      <c r="F30" s="146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Z30" s="20"/>
      <c r="BD30" s="1182" t="s">
        <v>28</v>
      </c>
      <c r="BE30" s="1183" t="b">
        <f>Application!AJ364="Yes"</f>
        <v>1</v>
      </c>
    </row>
    <row r="31" spans="1:58" ht="12.95" customHeight="1">
      <c r="A31" s="1468"/>
      <c r="B31" s="1468"/>
      <c r="C31" s="1468"/>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1468"/>
      <c r="AB31" s="1468"/>
      <c r="AC31" s="1468"/>
      <c r="AD31" s="1468"/>
      <c r="AE31" s="1468"/>
      <c r="AF31" s="1468"/>
      <c r="AG31" s="1468"/>
      <c r="AH31" s="1468"/>
      <c r="AI31" s="1468"/>
      <c r="AJ31" s="1468"/>
      <c r="AK31" s="1468"/>
      <c r="AL31" s="1468"/>
      <c r="AM31" s="1468"/>
      <c r="AN31" s="1468"/>
      <c r="AO31" s="1468"/>
      <c r="AP31" s="1468"/>
      <c r="AQ31" s="1468"/>
      <c r="AR31" s="1468"/>
      <c r="AS31" s="1468"/>
      <c r="AT31" s="1468"/>
      <c r="AU31" s="20"/>
      <c r="AV31" s="20"/>
      <c r="AW31" s="20"/>
      <c r="AX31" s="20"/>
      <c r="AY31" s="20"/>
      <c r="AZ31" s="20"/>
      <c r="BD31" s="1181" t="s">
        <v>2455</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99" t="s">
        <v>668</v>
      </c>
      <c r="P33" s="1399"/>
      <c r="Q33" s="1763" t="s">
        <v>2100</v>
      </c>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c r="AS33" s="1763"/>
      <c r="AT33" s="1763"/>
      <c r="AU33" s="20"/>
      <c r="AV33" s="20"/>
      <c r="AW33" s="20"/>
      <c r="AX33" s="20"/>
      <c r="AY33" s="20"/>
      <c r="BD33" s="1181" t="s">
        <v>2521</v>
      </c>
      <c r="BE33" s="1183" t="str">
        <f>Application!D220</f>
        <v>Balance of Los Angeles County</v>
      </c>
    </row>
    <row r="34" spans="1:57" ht="12.95" hidden="1" customHeight="1">
      <c r="A34" s="1468" t="s">
        <v>2101</v>
      </c>
      <c r="B34" s="1468"/>
      <c r="C34" s="1468"/>
      <c r="D34" s="1468"/>
      <c r="E34" s="1468"/>
      <c r="F34" s="1468"/>
      <c r="G34" s="1468"/>
      <c r="H34" s="1468"/>
      <c r="I34" s="1468"/>
      <c r="J34" s="1468"/>
      <c r="K34" s="1468"/>
      <c r="L34" s="1468"/>
      <c r="M34" s="1468"/>
      <c r="N34" s="1468"/>
      <c r="O34" s="1468"/>
      <c r="P34" s="1468"/>
      <c r="Q34" s="1468"/>
      <c r="R34" s="1468"/>
      <c r="S34" s="1468"/>
      <c r="T34" s="1468"/>
      <c r="U34" s="1468"/>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68"/>
      <c r="AU34" s="20"/>
      <c r="AV34" s="20"/>
      <c r="AW34" s="20"/>
      <c r="AX34" s="20"/>
      <c r="AY34" s="20"/>
      <c r="AZ34" s="20"/>
      <c r="BD34" s="1182" t="s">
        <v>2457</v>
      </c>
      <c r="BE34" s="1183" t="str">
        <f>Application!I185</f>
        <v xml:space="preserve">1946, 1956, 1976 E Colorado Boulevard &amp; 20 S Greenwood Avenue </v>
      </c>
    </row>
    <row r="35" spans="1:57" ht="12.95" hidden="1" customHeight="1">
      <c r="A35" s="1468"/>
      <c r="B35" s="1468"/>
      <c r="C35" s="1468"/>
      <c r="D35" s="1468"/>
      <c r="E35" s="1468"/>
      <c r="F35" s="1468"/>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c r="AL35" s="1468"/>
      <c r="AM35" s="1468"/>
      <c r="AN35" s="1468"/>
      <c r="AO35" s="1468"/>
      <c r="AP35" s="1468"/>
      <c r="AQ35" s="1468"/>
      <c r="AR35" s="1468"/>
      <c r="AS35" s="1468"/>
      <c r="AT35" s="1468"/>
      <c r="AU35" s="20"/>
      <c r="AV35" s="20"/>
      <c r="AW35" s="20"/>
      <c r="AX35" s="20"/>
      <c r="AY35" s="20"/>
      <c r="AZ35" s="20"/>
      <c r="BD35" s="1181" t="s">
        <v>2458</v>
      </c>
      <c r="BE35" s="1183" t="str">
        <f>IF(Application!E187="","",Application!E187)</f>
        <v/>
      </c>
    </row>
    <row r="36" spans="1:57" ht="12.95" hidden="1" customHeight="1">
      <c r="A36" s="1468"/>
      <c r="B36" s="1468"/>
      <c r="C36" s="1468"/>
      <c r="D36" s="1468"/>
      <c r="E36" s="146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8"/>
      <c r="AT36" s="1468"/>
      <c r="AU36" s="20"/>
      <c r="AV36" s="20"/>
      <c r="AW36" s="20"/>
      <c r="AX36" s="20"/>
      <c r="AY36" s="20"/>
      <c r="AZ36" s="20"/>
      <c r="BD36" s="1182" t="s">
        <v>2459</v>
      </c>
      <c r="BE36" s="1183" t="str">
        <f>Application!I189</f>
        <v>Pasadena</v>
      </c>
    </row>
    <row r="37" spans="1:57" ht="12.95" hidden="1" customHeight="1">
      <c r="A37" s="1468"/>
      <c r="B37" s="1468"/>
      <c r="C37" s="1468"/>
      <c r="D37" s="1468"/>
      <c r="E37" s="1468"/>
      <c r="F37" s="1468"/>
      <c r="G37" s="1468"/>
      <c r="H37" s="1468"/>
      <c r="I37" s="1468"/>
      <c r="J37" s="1468"/>
      <c r="K37" s="1468"/>
      <c r="L37" s="1468"/>
      <c r="M37" s="1468"/>
      <c r="N37" s="1468"/>
      <c r="O37" s="1468"/>
      <c r="P37" s="1468"/>
      <c r="Q37" s="1468"/>
      <c r="R37" s="1468"/>
      <c r="S37" s="1468"/>
      <c r="T37" s="1468"/>
      <c r="U37" s="1468"/>
      <c r="V37" s="1468"/>
      <c r="W37" s="1468"/>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68"/>
      <c r="AZ37" s="20"/>
      <c r="BD37" s="1181" t="s">
        <v>2460</v>
      </c>
      <c r="BE37" s="1183" t="str">
        <f>Application!T189</f>
        <v>Los Angeles</v>
      </c>
    </row>
    <row r="38" spans="1:57" ht="12.95" hidden="1" customHeight="1">
      <c r="A38" s="3"/>
      <c r="AZ38" s="20"/>
      <c r="BD38" s="1182" t="s">
        <v>2461</v>
      </c>
      <c r="BE38" s="1183">
        <f>Application!I190</f>
        <v>91107</v>
      </c>
    </row>
    <row r="39" spans="1:57" ht="12.95" customHeight="1">
      <c r="A39" s="1479" t="s">
        <v>2102</v>
      </c>
      <c r="B39" s="1479"/>
      <c r="C39" s="1479"/>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79"/>
      <c r="AH39" s="1479"/>
      <c r="AI39" s="1479"/>
      <c r="AJ39" s="1479"/>
      <c r="AK39" s="1479"/>
      <c r="AL39" s="1479"/>
      <c r="AM39" s="1479"/>
      <c r="AN39" s="1479"/>
      <c r="AO39" s="1479"/>
      <c r="AP39" s="1479"/>
      <c r="AQ39" s="1479"/>
      <c r="AR39" s="1479"/>
      <c r="AS39" s="1479"/>
      <c r="AT39" s="1479"/>
      <c r="AZ39" s="20"/>
      <c r="BD39" s="1181" t="s">
        <v>2462</v>
      </c>
      <c r="BE39" s="1183">
        <f>Application!AG446</f>
        <v>154</v>
      </c>
    </row>
    <row r="40" spans="1:57" ht="12.95" customHeight="1">
      <c r="A40" s="1479"/>
      <c r="B40" s="1479"/>
      <c r="C40" s="1479"/>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c r="AH40" s="1479"/>
      <c r="AI40" s="1479"/>
      <c r="AJ40" s="1479"/>
      <c r="AK40" s="1479"/>
      <c r="AL40" s="1479"/>
      <c r="AM40" s="1479"/>
      <c r="AN40" s="1479"/>
      <c r="AO40" s="1479"/>
      <c r="AP40" s="1479"/>
      <c r="AQ40" s="1479"/>
      <c r="AR40" s="1479"/>
      <c r="AS40" s="1479"/>
      <c r="AT40" s="1479"/>
      <c r="AU40" s="20"/>
      <c r="AV40" s="20"/>
      <c r="AW40" s="20"/>
      <c r="AX40" s="20"/>
      <c r="AY40" s="20"/>
      <c r="AZ40" s="20"/>
      <c r="BD40" s="1182" t="s">
        <v>384</v>
      </c>
      <c r="BE40" s="1183">
        <f>Application!AG449</f>
        <v>153</v>
      </c>
    </row>
    <row r="41" spans="1:57" ht="12.95" customHeight="1">
      <c r="A41" s="1479"/>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c r="AF41" s="1479"/>
      <c r="AG41" s="1479"/>
      <c r="AH41" s="1479"/>
      <c r="AI41" s="1479"/>
      <c r="AJ41" s="1479"/>
      <c r="AK41" s="1479"/>
      <c r="AL41" s="1479"/>
      <c r="AM41" s="1479"/>
      <c r="AN41" s="1479"/>
      <c r="AO41" s="1479"/>
      <c r="AP41" s="1479"/>
      <c r="AQ41" s="1479"/>
      <c r="AR41" s="1479"/>
      <c r="AS41" s="1479"/>
      <c r="AT41" s="1479"/>
      <c r="AU41" s="20"/>
      <c r="AV41" s="20"/>
      <c r="AW41" s="20"/>
      <c r="AX41" s="20"/>
      <c r="AY41" s="20"/>
      <c r="AZ41" s="20"/>
      <c r="BD41" s="1181" t="s">
        <v>287</v>
      </c>
      <c r="BE41" s="1183">
        <f>Application!AG447</f>
        <v>0</v>
      </c>
    </row>
    <row r="42" spans="1:57" ht="12.95" customHeight="1">
      <c r="A42" s="1479"/>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1479"/>
      <c r="AJ42" s="1479"/>
      <c r="AK42" s="1479"/>
      <c r="AL42" s="1479"/>
      <c r="AM42" s="1479"/>
      <c r="AN42" s="1479"/>
      <c r="AO42" s="1479"/>
      <c r="AP42" s="1479"/>
      <c r="AQ42" s="1479"/>
      <c r="AR42" s="1479"/>
      <c r="AS42" s="1479"/>
      <c r="AT42" s="1479"/>
      <c r="AZ42" s="20"/>
      <c r="BD42" s="1182" t="s">
        <v>2463</v>
      </c>
      <c r="BE42" s="1185">
        <f>Application!AC761</f>
        <v>0.6</v>
      </c>
    </row>
    <row r="43" spans="1:57" ht="12.95" customHeight="1">
      <c r="A43" s="1479"/>
      <c r="B43" s="1479"/>
      <c r="C43" s="1479"/>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c r="AM43" s="1479"/>
      <c r="AN43" s="1479"/>
      <c r="AO43" s="1479"/>
      <c r="AP43" s="1479"/>
      <c r="AQ43" s="1479"/>
      <c r="AR43" s="1479"/>
      <c r="AS43" s="1479"/>
      <c r="AT43" s="1479"/>
      <c r="AU43" s="20"/>
      <c r="AV43" s="20"/>
      <c r="AW43" s="20"/>
      <c r="AX43" s="20"/>
      <c r="AY43" s="20"/>
      <c r="AZ43" s="20"/>
      <c r="BD43" s="1181" t="s">
        <v>2464</v>
      </c>
      <c r="BE43" s="1185">
        <f>Application!AH761</f>
        <v>0.60003991418450331</v>
      </c>
    </row>
    <row r="44" spans="1:57" ht="12.95" customHeight="1">
      <c r="A44" s="1479"/>
      <c r="B44" s="1479"/>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79"/>
      <c r="AQ44" s="1479"/>
      <c r="AR44" s="1479"/>
      <c r="AS44" s="1479"/>
      <c r="AT44" s="1479"/>
      <c r="AU44" s="20"/>
      <c r="AV44" s="20"/>
      <c r="AW44" s="20"/>
      <c r="AX44" s="20"/>
      <c r="AY44" s="20"/>
      <c r="AZ44" s="20"/>
      <c r="BD44" s="1182" t="s">
        <v>2465</v>
      </c>
      <c r="BE44" s="1183">
        <f>Application!AC463</f>
        <v>416163.5324675325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v>
      </c>
    </row>
    <row r="46" spans="1:57" ht="12.95" customHeight="1">
      <c r="A46" s="1762" t="s">
        <v>2103</v>
      </c>
      <c r="B46" s="1762"/>
      <c r="C46" s="1762"/>
      <c r="D46" s="1762"/>
      <c r="E46" s="1762"/>
      <c r="F46" s="1762"/>
      <c r="G46" s="1762"/>
      <c r="H46" s="1762"/>
      <c r="I46" s="1762"/>
      <c r="J46" s="1762"/>
      <c r="K46" s="1762"/>
      <c r="L46" s="1762"/>
      <c r="M46" s="1762"/>
      <c r="N46" s="1762"/>
      <c r="O46" s="1762"/>
      <c r="P46" s="1762"/>
      <c r="Q46" s="1762"/>
      <c r="R46" s="1762"/>
      <c r="S46" s="1762"/>
      <c r="T46" s="1762"/>
      <c r="U46" s="1762"/>
      <c r="V46" s="1762"/>
      <c r="W46" s="1762"/>
      <c r="X46" s="1762"/>
      <c r="Y46" s="1762"/>
      <c r="Z46" s="1762"/>
      <c r="AA46" s="1762"/>
      <c r="AB46" s="1762"/>
      <c r="AC46" s="1762"/>
      <c r="AD46" s="1762"/>
      <c r="AE46" s="1762"/>
      <c r="AF46" s="1762"/>
      <c r="AG46" s="1762"/>
      <c r="AH46" s="1762"/>
      <c r="AI46" s="1762"/>
      <c r="AJ46" s="1762"/>
      <c r="AK46" s="1762"/>
      <c r="AL46" s="1762"/>
      <c r="AM46" s="1762"/>
      <c r="AN46" s="1762"/>
      <c r="AO46" s="1762"/>
      <c r="AP46" s="1762"/>
      <c r="AQ46" s="1762"/>
      <c r="AR46" s="1762"/>
      <c r="AS46" s="1762"/>
      <c r="AT46" s="1762"/>
      <c r="AU46" s="20"/>
      <c r="AV46" s="20"/>
      <c r="AW46" s="20"/>
      <c r="AX46" s="20"/>
      <c r="AY46" s="20"/>
      <c r="AZ46" s="20"/>
      <c r="BD46" s="1182" t="s">
        <v>2467</v>
      </c>
      <c r="BE46" s="1183" t="b">
        <f>Application!T195="Yes"</f>
        <v>1</v>
      </c>
    </row>
    <row r="47" spans="1:57" ht="12.95" customHeight="1">
      <c r="A47" s="1762"/>
      <c r="B47" s="1762"/>
      <c r="C47" s="1762"/>
      <c r="D47" s="1762"/>
      <c r="E47" s="1762"/>
      <c r="F47" s="1762"/>
      <c r="G47" s="1762"/>
      <c r="H47" s="1762"/>
      <c r="I47" s="1762"/>
      <c r="J47" s="1762"/>
      <c r="K47" s="1762"/>
      <c r="L47" s="1762"/>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762"/>
      <c r="AN47" s="1762"/>
      <c r="AO47" s="1762"/>
      <c r="AP47" s="1762"/>
      <c r="AQ47" s="1762"/>
      <c r="AR47" s="1762"/>
      <c r="AS47" s="1762"/>
      <c r="AT47" s="1762"/>
      <c r="AU47" s="20"/>
      <c r="AV47" s="20"/>
      <c r="AW47" s="20"/>
      <c r="AX47" s="20"/>
      <c r="AY47" s="20"/>
      <c r="AZ47" s="20"/>
      <c r="BD47" s="1181" t="s">
        <v>2468</v>
      </c>
      <c r="BE47" s="1183" t="b">
        <f>Application!T196="Yes"</f>
        <v>0</v>
      </c>
    </row>
    <row r="48" spans="1:57" ht="12.95" customHeight="1">
      <c r="A48" s="1762"/>
      <c r="B48" s="1762"/>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20"/>
      <c r="AV48" s="20"/>
      <c r="AW48" s="20"/>
      <c r="AX48" s="20"/>
      <c r="AY48" s="20"/>
      <c r="AZ48" s="20"/>
      <c r="BD48" s="1182" t="s">
        <v>2469</v>
      </c>
      <c r="BE48" s="1183" t="str">
        <f>Application!M252</f>
        <v xml:space="preserve">Greenwood Colorado, LLC </v>
      </c>
    </row>
    <row r="49" spans="1:57" ht="12.95" customHeight="1">
      <c r="A49" s="1762"/>
      <c r="B49" s="1762"/>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2"/>
      <c r="AQ49" s="1762"/>
      <c r="AR49" s="1762"/>
      <c r="AS49" s="1762"/>
      <c r="AT49" s="1762"/>
      <c r="AU49" s="20"/>
      <c r="AV49" s="20"/>
      <c r="AW49" s="20"/>
      <c r="AX49" s="20"/>
      <c r="AY49" s="20"/>
      <c r="AZ49" s="20"/>
      <c r="BD49" s="1181" t="s">
        <v>2470</v>
      </c>
      <c r="BE49" s="1183" t="str">
        <f>Application!M255</f>
        <v xml:space="preserve">Loren Messeri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 xml:space="preserve">Meta Development, LLC </v>
      </c>
    </row>
    <row r="51" spans="1:57" ht="12.95" customHeight="1">
      <c r="A51" s="1479" t="s">
        <v>2104</v>
      </c>
      <c r="B51" s="1479"/>
      <c r="C51" s="1479"/>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s="1479"/>
      <c r="AM51" s="1479"/>
      <c r="AN51" s="1479"/>
      <c r="AO51" s="1479"/>
      <c r="AP51" s="1479"/>
      <c r="AQ51" s="1479"/>
      <c r="AR51" s="1479"/>
      <c r="AS51" s="1479"/>
      <c r="AT51" s="1479"/>
      <c r="AU51" s="20"/>
      <c r="AV51" s="20"/>
      <c r="AW51" s="20"/>
      <c r="AX51" s="20"/>
      <c r="AY51" s="20"/>
      <c r="AZ51" s="20"/>
      <c r="BD51" s="1181" t="s">
        <v>2472</v>
      </c>
      <c r="BE51" s="1183" t="str">
        <f>Application!M260</f>
        <v xml:space="preserve">WCH Affordable LXVI, LLC </v>
      </c>
    </row>
    <row r="52" spans="1:57" ht="12.95" customHeight="1">
      <c r="A52" s="1479"/>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20"/>
      <c r="AV52" s="20"/>
      <c r="AW52" s="20"/>
      <c r="AX52" s="20"/>
      <c r="AY52" s="20"/>
      <c r="AZ52" s="20"/>
      <c r="BD52" s="1182" t="s">
        <v>2473</v>
      </c>
      <c r="BE52" s="1183" t="str">
        <f>Application!M263</f>
        <v>Graham Espley-Jones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 xml:space="preserve">Western Community Housing, Inc. </v>
      </c>
    </row>
    <row r="54" spans="1:57" ht="12.95" customHeight="1">
      <c r="A54" s="1479" t="s">
        <v>2105</v>
      </c>
      <c r="B54" s="1479"/>
      <c r="C54" s="1479"/>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79"/>
      <c r="AT54" s="1479"/>
      <c r="AU54" s="20"/>
      <c r="AV54" s="20"/>
      <c r="AW54" s="20"/>
      <c r="AX54" s="20"/>
      <c r="AY54" s="20"/>
      <c r="AZ54" s="21"/>
      <c r="BD54" s="1182" t="s">
        <v>2475</v>
      </c>
      <c r="BE54" s="1183">
        <f>Application!M268</f>
        <v>0</v>
      </c>
    </row>
    <row r="55" spans="1:57" ht="12.95" customHeight="1">
      <c r="A55" s="1479"/>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Z55" s="21"/>
      <c r="BD55" s="1181" t="s">
        <v>2476</v>
      </c>
      <c r="BE55" s="1183">
        <f>Application!M271</f>
        <v>0</v>
      </c>
    </row>
    <row r="56" spans="1:57" ht="12.95" customHeight="1">
      <c r="A56" s="1479"/>
      <c r="B56" s="1479"/>
      <c r="C56" s="1479"/>
      <c r="D56" s="1479"/>
      <c r="E56" s="1479"/>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79"/>
      <c r="AT56" s="1479"/>
      <c r="BD56" s="1182" t="s">
        <v>2477</v>
      </c>
      <c r="BE56" s="1183">
        <f>Application!AA274</f>
        <v>0</v>
      </c>
    </row>
    <row r="57" spans="1:57" ht="12.95" customHeight="1">
      <c r="A57" s="1479"/>
      <c r="B57" s="1479"/>
      <c r="C57" s="1479"/>
      <c r="D57" s="1479"/>
      <c r="E57" s="1479"/>
      <c r="F57" s="1479"/>
      <c r="G57" s="1479"/>
      <c r="H57" s="1479"/>
      <c r="I57" s="1479"/>
      <c r="J57" s="1479"/>
      <c r="K57" s="1479"/>
      <c r="L57" s="1479"/>
      <c r="M57" s="1479"/>
      <c r="N57" s="1479"/>
      <c r="O57" s="1479"/>
      <c r="P57" s="1479"/>
      <c r="Q57" s="1479"/>
      <c r="R57" s="1479"/>
      <c r="S57" s="1479"/>
      <c r="T57" s="1479"/>
      <c r="U57" s="1479"/>
      <c r="V57" s="1479"/>
      <c r="W57" s="1479"/>
      <c r="X57" s="1479"/>
      <c r="Y57" s="1479"/>
      <c r="Z57" s="1479"/>
      <c r="AA57" s="1479"/>
      <c r="AB57" s="1479"/>
      <c r="AC57" s="1479"/>
      <c r="AD57" s="1479"/>
      <c r="AE57" s="1479"/>
      <c r="AF57" s="1479"/>
      <c r="AG57" s="1479"/>
      <c r="AH57" s="1479"/>
      <c r="AI57" s="1479"/>
      <c r="AJ57" s="1479"/>
      <c r="AK57" s="1479"/>
      <c r="AL57" s="1479"/>
      <c r="AM57" s="1479"/>
      <c r="AN57" s="1479"/>
      <c r="AO57" s="1479"/>
      <c r="AP57" s="1479"/>
      <c r="AQ57" s="1479"/>
      <c r="AR57" s="1479"/>
      <c r="AS57" s="1479"/>
      <c r="AT57" s="1479"/>
      <c r="BD57" s="1181" t="s">
        <v>2478</v>
      </c>
      <c r="BE57" s="1183" t="str">
        <f>Application!H296</f>
        <v>Meta Development Partners, LLC</v>
      </c>
    </row>
    <row r="58" spans="1:57" ht="12.95" customHeight="1">
      <c r="A58" s="1479"/>
      <c r="B58" s="1479"/>
      <c r="C58" s="1479"/>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79"/>
      <c r="AQ58" s="1479"/>
      <c r="AR58" s="1479"/>
      <c r="AS58" s="1479"/>
      <c r="AT58" s="1479"/>
      <c r="BD58" s="1182" t="s">
        <v>2479</v>
      </c>
      <c r="BE58" s="1183" t="str">
        <f>Application!H297</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Los Angeles, CA 90064</v>
      </c>
    </row>
    <row r="60" spans="1:57" ht="12.95" customHeight="1">
      <c r="A60" s="1479" t="s">
        <v>2106</v>
      </c>
      <c r="B60" s="1479"/>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c r="AO60" s="1479"/>
      <c r="AP60" s="1479"/>
      <c r="AQ60" s="1479"/>
      <c r="AR60" s="1479"/>
      <c r="AS60" s="1479"/>
      <c r="AT60" s="1479"/>
      <c r="AU60" s="20"/>
      <c r="AV60" s="20"/>
      <c r="AW60" s="20"/>
      <c r="AX60" s="20"/>
      <c r="AY60" s="20"/>
      <c r="AZ60" s="20"/>
      <c r="BD60" s="1182" t="s">
        <v>2481</v>
      </c>
      <c r="BE60" s="1183" t="str">
        <f>Application!H299</f>
        <v xml:space="preserve">Chris Maffris </v>
      </c>
    </row>
    <row r="61" spans="1:57" ht="12.95" customHeight="1">
      <c r="A61" s="1479"/>
      <c r="B61" s="1479"/>
      <c r="C61" s="1479"/>
      <c r="D61" s="1479"/>
      <c r="E61" s="1479"/>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1479"/>
      <c r="AB61" s="1479"/>
      <c r="AC61" s="1479"/>
      <c r="AD61" s="1479"/>
      <c r="AE61" s="1479"/>
      <c r="AF61" s="1479"/>
      <c r="AG61" s="1479"/>
      <c r="AH61" s="1479"/>
      <c r="AI61" s="1479"/>
      <c r="AJ61" s="1479"/>
      <c r="AK61" s="1479"/>
      <c r="AL61" s="1479"/>
      <c r="AM61" s="1479"/>
      <c r="AN61" s="1479"/>
      <c r="AO61" s="1479"/>
      <c r="AP61" s="1479"/>
      <c r="AQ61" s="1479"/>
      <c r="AR61" s="1479"/>
      <c r="AS61" s="1479"/>
      <c r="AT61" s="1479"/>
      <c r="AU61" s="20"/>
      <c r="AV61" s="20"/>
      <c r="AW61" s="20"/>
      <c r="AX61" s="20"/>
      <c r="AY61" s="20"/>
      <c r="AZ61" s="20"/>
      <c r="BD61" s="1181" t="s">
        <v>2482</v>
      </c>
      <c r="BE61" s="1183" t="str">
        <f>Application!H302</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0.8099999639149007</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5" customHeight="1">
      <c r="A65" s="1451" t="s">
        <v>2108</v>
      </c>
      <c r="B65" s="1451"/>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451"/>
      <c r="AM65" s="1451"/>
      <c r="AN65" s="1451"/>
      <c r="AO65" s="1451"/>
      <c r="AP65" s="1451"/>
      <c r="AQ65" s="1451"/>
      <c r="AR65" s="1451"/>
      <c r="AS65" s="1451"/>
      <c r="AT65" s="1451"/>
      <c r="AU65" s="21"/>
      <c r="AV65" s="21"/>
      <c r="AW65" s="21"/>
      <c r="AX65" s="21"/>
      <c r="AY65" s="21"/>
      <c r="AZ65" s="20"/>
      <c r="BD65" s="1181" t="s">
        <v>2518</v>
      </c>
      <c r="BE65" s="1183" t="str">
        <f>Z205</f>
        <v>$500M</v>
      </c>
    </row>
    <row r="66" spans="1:57" ht="12.95" customHeight="1">
      <c r="A66" s="1451"/>
      <c r="B66" s="1451"/>
      <c r="C66" s="1451"/>
      <c r="D66" s="1451"/>
      <c r="E66" s="1451"/>
      <c r="F66" s="1451"/>
      <c r="G66" s="1451"/>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21"/>
      <c r="AV66" s="21"/>
      <c r="AW66" s="21"/>
      <c r="AX66" s="21"/>
      <c r="AY66" s="21"/>
      <c r="AZ66" s="20"/>
      <c r="BD66" s="1182" t="s">
        <v>2485</v>
      </c>
      <c r="BE66" s="1183" t="b">
        <f>Application!Z205="State Farmworker Credit"</f>
        <v>0</v>
      </c>
    </row>
    <row r="67" spans="1:57" ht="12.95" customHeight="1">
      <c r="A67" s="1451"/>
      <c r="B67" s="1451"/>
      <c r="C67" s="1451"/>
      <c r="D67" s="1451"/>
      <c r="E67" s="1451"/>
      <c r="F67" s="1451"/>
      <c r="G67" s="1451"/>
      <c r="H67" s="1451"/>
      <c r="I67" s="1451"/>
      <c r="J67" s="1451"/>
      <c r="K67" s="1451"/>
      <c r="L67" s="1451"/>
      <c r="M67" s="1451"/>
      <c r="N67" s="1451"/>
      <c r="O67" s="1451"/>
      <c r="P67" s="1451"/>
      <c r="Q67" s="1451"/>
      <c r="R67" s="1451"/>
      <c r="S67" s="1451"/>
      <c r="T67" s="1451"/>
      <c r="U67" s="1451"/>
      <c r="V67" s="1451"/>
      <c r="W67" s="1451"/>
      <c r="X67" s="1451"/>
      <c r="Y67" s="1451"/>
      <c r="Z67" s="1451"/>
      <c r="AA67" s="1451"/>
      <c r="AB67" s="1451"/>
      <c r="AC67" s="1451"/>
      <c r="AD67" s="1451"/>
      <c r="AE67" s="1451"/>
      <c r="AF67" s="1451"/>
      <c r="AG67" s="1451"/>
      <c r="AH67" s="1451"/>
      <c r="AI67" s="1451"/>
      <c r="AJ67" s="1451"/>
      <c r="AK67" s="1451"/>
      <c r="AL67" s="1451"/>
      <c r="AM67" s="1451"/>
      <c r="AN67" s="1451"/>
      <c r="AO67" s="1451"/>
      <c r="AP67" s="1451"/>
      <c r="AQ67" s="1451"/>
      <c r="AR67" s="1451"/>
      <c r="AS67" s="1451"/>
      <c r="AT67" s="1451"/>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451" t="s">
        <v>2109</v>
      </c>
      <c r="B69" s="1451"/>
      <c r="C69" s="1451"/>
      <c r="D69" s="1451"/>
      <c r="E69" s="1451"/>
      <c r="F69" s="1451"/>
      <c r="G69" s="1451"/>
      <c r="H69" s="1451"/>
      <c r="I69" s="1451"/>
      <c r="J69" s="1451"/>
      <c r="K69" s="1451"/>
      <c r="L69" s="1451"/>
      <c r="M69" s="1451"/>
      <c r="N69" s="1451"/>
      <c r="O69" s="1451"/>
      <c r="P69" s="1451"/>
      <c r="Q69" s="1451"/>
      <c r="R69" s="1451"/>
      <c r="S69" s="1451"/>
      <c r="T69" s="1451"/>
      <c r="U69" s="1451"/>
      <c r="V69" s="1451"/>
      <c r="W69" s="1451"/>
      <c r="X69" s="1451"/>
      <c r="Y69" s="1451"/>
      <c r="Z69" s="1451"/>
      <c r="AA69" s="1451"/>
      <c r="AB69" s="1451"/>
      <c r="AC69" s="1451"/>
      <c r="AD69" s="1451"/>
      <c r="AE69" s="1451"/>
      <c r="AF69" s="1451"/>
      <c r="AG69" s="1451"/>
      <c r="AH69" s="1451"/>
      <c r="AI69" s="1451"/>
      <c r="AJ69" s="1451"/>
      <c r="AK69" s="1451"/>
      <c r="AL69" s="1451"/>
      <c r="AM69" s="1451"/>
      <c r="AN69" s="1451"/>
      <c r="AO69" s="1451"/>
      <c r="AP69" s="1451"/>
      <c r="AQ69" s="1451"/>
      <c r="AR69" s="1451"/>
      <c r="AS69" s="1451"/>
      <c r="AT69" s="1451"/>
      <c r="AZ69" s="20"/>
      <c r="BD69" s="1181" t="s">
        <v>2488</v>
      </c>
      <c r="BE69" s="1183" t="str">
        <f>Application!W708</f>
        <v>California Municipal Finance Authority</v>
      </c>
    </row>
    <row r="70" spans="1:57" ht="12.95" customHeight="1">
      <c r="A70" s="1451"/>
      <c r="B70" s="1451"/>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c r="AA70" s="1451"/>
      <c r="AB70" s="1451"/>
      <c r="AC70" s="1451"/>
      <c r="AD70" s="1451"/>
      <c r="AE70" s="1451"/>
      <c r="AF70" s="1451"/>
      <c r="AG70" s="1451"/>
      <c r="AH70" s="1451"/>
      <c r="AI70" s="1451"/>
      <c r="AJ70" s="1451"/>
      <c r="AK70" s="1451"/>
      <c r="AL70" s="1451"/>
      <c r="AM70" s="1451"/>
      <c r="AN70" s="1451"/>
      <c r="AO70" s="1451"/>
      <c r="AP70" s="1451"/>
      <c r="AQ70" s="1451"/>
      <c r="AR70" s="1451"/>
      <c r="AS70" s="1451"/>
      <c r="AT70" s="1451"/>
      <c r="AU70" s="20"/>
      <c r="AV70" s="20"/>
      <c r="AW70" s="20"/>
      <c r="AX70" s="20"/>
      <c r="AY70" s="20"/>
      <c r="AZ70" s="20"/>
      <c r="BD70" s="1182" t="s">
        <v>2489</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468" t="s">
        <v>2110</v>
      </c>
      <c r="B72" s="1468"/>
      <c r="C72" s="1468"/>
      <c r="D72" s="1468"/>
      <c r="E72" s="1468"/>
      <c r="F72" s="1468"/>
      <c r="G72" s="1468"/>
      <c r="H72" s="1468"/>
      <c r="I72" s="1468"/>
      <c r="J72" s="1468"/>
      <c r="K72" s="1468"/>
      <c r="L72" s="1468"/>
      <c r="M72" s="1468"/>
      <c r="N72" s="1468"/>
      <c r="O72" s="1468"/>
      <c r="P72" s="1468"/>
      <c r="Q72" s="1468"/>
      <c r="R72" s="1468"/>
      <c r="S72" s="1468"/>
      <c r="T72" s="1468"/>
      <c r="U72" s="1468"/>
      <c r="V72" s="1468"/>
      <c r="W72" s="1468"/>
      <c r="X72" s="1468"/>
      <c r="Y72" s="1468"/>
      <c r="Z72" s="1468"/>
      <c r="AA72" s="1468"/>
      <c r="AB72" s="1468"/>
      <c r="AC72" s="1468"/>
      <c r="AD72" s="1468"/>
      <c r="AE72" s="1468"/>
      <c r="AF72" s="1468"/>
      <c r="AG72" s="1468"/>
      <c r="AH72" s="1468"/>
      <c r="AI72" s="1468"/>
      <c r="AJ72" s="1468"/>
      <c r="AK72" s="1468"/>
      <c r="AL72" s="1468"/>
      <c r="AM72" s="1468"/>
      <c r="AN72" s="1468"/>
      <c r="AO72" s="1468"/>
      <c r="AP72" s="1468"/>
      <c r="AQ72" s="1468"/>
      <c r="AR72" s="1468"/>
      <c r="AS72" s="1468"/>
      <c r="AT72" s="1468"/>
      <c r="AU72" s="20"/>
      <c r="AV72" s="20"/>
      <c r="AW72" s="20"/>
      <c r="AX72" s="20"/>
      <c r="AY72" s="20"/>
      <c r="AZ72" s="20"/>
      <c r="BD72" s="1182" t="s">
        <v>2490</v>
      </c>
      <c r="BE72" s="1183">
        <f>'Points System'!AF827</f>
        <v>10</v>
      </c>
    </row>
    <row r="73" spans="1:57" ht="12.95" customHeight="1">
      <c r="A73" s="1468"/>
      <c r="B73" s="1468"/>
      <c r="C73" s="1468"/>
      <c r="D73" s="1468"/>
      <c r="E73" s="1468"/>
      <c r="F73" s="146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c r="AL73" s="1468"/>
      <c r="AM73" s="1468"/>
      <c r="AN73" s="1468"/>
      <c r="AO73" s="1468"/>
      <c r="AP73" s="1468"/>
      <c r="AQ73" s="1468"/>
      <c r="AR73" s="1468"/>
      <c r="AS73" s="1468"/>
      <c r="AT73" s="1468"/>
      <c r="AU73" s="20"/>
      <c r="AV73" s="20"/>
      <c r="AW73" s="20"/>
      <c r="AX73" s="20"/>
      <c r="AY73" s="20"/>
      <c r="AZ73" s="20"/>
      <c r="BD73" s="1181" t="s">
        <v>2491</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472" t="s">
        <v>2111</v>
      </c>
      <c r="B75" s="1472"/>
      <c r="C75" s="1472"/>
      <c r="D75" s="1472"/>
      <c r="E75" s="1472"/>
      <c r="F75" s="1472"/>
      <c r="G75" s="1472"/>
      <c r="H75" s="1472"/>
      <c r="I75" s="1472"/>
      <c r="J75" s="1472"/>
      <c r="K75" s="1472"/>
      <c r="L75" s="1472"/>
      <c r="M75" s="1472"/>
      <c r="N75" s="1472"/>
      <c r="O75" s="1472"/>
      <c r="P75" s="1472"/>
      <c r="Q75" s="1472"/>
      <c r="R75" s="1472"/>
      <c r="S75" s="1472"/>
      <c r="T75" s="1472"/>
      <c r="U75" s="1472"/>
      <c r="V75" s="1472"/>
      <c r="W75" s="1472"/>
      <c r="X75" s="1472"/>
      <c r="Y75" s="1472"/>
      <c r="Z75" s="1472"/>
      <c r="AA75" s="1472"/>
      <c r="AB75" s="1472"/>
      <c r="AC75" s="1472"/>
      <c r="AD75" s="1472"/>
      <c r="AE75" s="1472"/>
      <c r="AF75" s="1472"/>
      <c r="AG75" s="1472"/>
      <c r="AH75" s="1472"/>
      <c r="AI75" s="1472"/>
      <c r="AJ75" s="1472"/>
      <c r="AK75" s="1472"/>
      <c r="AL75" s="1472"/>
      <c r="AM75" s="1472"/>
      <c r="AN75" s="1472"/>
      <c r="AO75" s="1472"/>
      <c r="AP75" s="1472"/>
      <c r="AQ75" s="1472"/>
      <c r="AR75" s="1472"/>
      <c r="AS75" s="1472"/>
      <c r="AT75" s="1472"/>
      <c r="AU75" s="20"/>
      <c r="AV75" s="20"/>
      <c r="AW75" s="20"/>
      <c r="AX75" s="20"/>
      <c r="AY75" s="20"/>
      <c r="AZ75" s="20"/>
      <c r="BD75" s="1181" t="s">
        <v>2493</v>
      </c>
      <c r="BE75" s="1183">
        <f>'Points System'!AF830</f>
        <v>10</v>
      </c>
    </row>
    <row r="76" spans="1:57" ht="12.95" customHeight="1">
      <c r="A76" s="1472"/>
      <c r="B76" s="1472"/>
      <c r="C76" s="1472"/>
      <c r="D76" s="1472"/>
      <c r="E76" s="1472"/>
      <c r="F76" s="1472"/>
      <c r="G76" s="1472"/>
      <c r="H76" s="1472"/>
      <c r="I76" s="1472"/>
      <c r="J76" s="1472"/>
      <c r="K76" s="1472"/>
      <c r="L76" s="1472"/>
      <c r="M76" s="1472"/>
      <c r="N76" s="1472"/>
      <c r="O76" s="1472"/>
      <c r="P76" s="1472"/>
      <c r="Q76" s="1472"/>
      <c r="R76" s="1472"/>
      <c r="S76" s="1472"/>
      <c r="T76" s="1472"/>
      <c r="U76" s="1472"/>
      <c r="V76" s="1472"/>
      <c r="W76" s="1472"/>
      <c r="X76" s="1472"/>
      <c r="Y76" s="1472"/>
      <c r="Z76" s="1472"/>
      <c r="AA76" s="1472"/>
      <c r="AB76" s="1472"/>
      <c r="AC76" s="1472"/>
      <c r="AD76" s="1472"/>
      <c r="AE76" s="1472"/>
      <c r="AF76" s="1472"/>
      <c r="AG76" s="1472"/>
      <c r="AH76" s="1472"/>
      <c r="AI76" s="1472"/>
      <c r="AJ76" s="1472"/>
      <c r="AK76" s="1472"/>
      <c r="AL76" s="1472"/>
      <c r="AM76" s="1472"/>
      <c r="AN76" s="1472"/>
      <c r="AO76" s="1472"/>
      <c r="AP76" s="1472"/>
      <c r="AQ76" s="1472"/>
      <c r="AR76" s="1472"/>
      <c r="AS76" s="1472"/>
      <c r="AT76" s="1472"/>
      <c r="AU76" s="20"/>
      <c r="AV76" s="20"/>
      <c r="AW76" s="20"/>
      <c r="AX76" s="20"/>
      <c r="AY76" s="20"/>
      <c r="AZ76" s="17"/>
      <c r="BD76" s="1182" t="s">
        <v>2494</v>
      </c>
      <c r="BE76" s="1183">
        <f>'Points System'!AF833</f>
        <v>10</v>
      </c>
    </row>
    <row r="77" spans="1:57" ht="12.95" customHeight="1">
      <c r="A77" s="1472"/>
      <c r="B77" s="1472"/>
      <c r="C77" s="1472"/>
      <c r="D77" s="1472"/>
      <c r="E77" s="1472"/>
      <c r="F77" s="1472"/>
      <c r="G77" s="1472"/>
      <c r="H77" s="1472"/>
      <c r="I77" s="1472"/>
      <c r="J77" s="1472"/>
      <c r="K77" s="1472"/>
      <c r="L77" s="1472"/>
      <c r="M77" s="1472"/>
      <c r="N77" s="1472"/>
      <c r="O77" s="1472"/>
      <c r="P77" s="1472"/>
      <c r="Q77" s="1472"/>
      <c r="R77" s="1472"/>
      <c r="S77" s="1472"/>
      <c r="T77" s="1472"/>
      <c r="U77" s="1472"/>
      <c r="V77" s="1472"/>
      <c r="W77" s="1472"/>
      <c r="X77" s="1472"/>
      <c r="Y77" s="1472"/>
      <c r="Z77" s="1472"/>
      <c r="AA77" s="1472"/>
      <c r="AB77" s="1472"/>
      <c r="AC77" s="1472"/>
      <c r="AD77" s="1472"/>
      <c r="AE77" s="1472"/>
      <c r="AF77" s="1472"/>
      <c r="AG77" s="1472"/>
      <c r="AH77" s="1472"/>
      <c r="AI77" s="1472"/>
      <c r="AJ77" s="1472"/>
      <c r="AK77" s="1472"/>
      <c r="AL77" s="1472"/>
      <c r="AM77" s="1472"/>
      <c r="AN77" s="1472"/>
      <c r="AO77" s="1472"/>
      <c r="AP77" s="1472"/>
      <c r="AQ77" s="1472"/>
      <c r="AR77" s="1472"/>
      <c r="AS77" s="1472"/>
      <c r="AT77" s="1472"/>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451" t="s">
        <v>2112</v>
      </c>
      <c r="B79" s="1451"/>
      <c r="C79" s="1451"/>
      <c r="D79" s="1451"/>
      <c r="E79" s="1451"/>
      <c r="F79" s="1451"/>
      <c r="G79" s="1451"/>
      <c r="H79" s="1451"/>
      <c r="I79" s="1451"/>
      <c r="J79" s="1451"/>
      <c r="K79" s="1451"/>
      <c r="L79" s="1451"/>
      <c r="M79" s="1451"/>
      <c r="N79" s="1451"/>
      <c r="O79" s="1451"/>
      <c r="P79" s="1451"/>
      <c r="Q79" s="1451"/>
      <c r="R79" s="1451"/>
      <c r="S79" s="1451"/>
      <c r="T79" s="1451"/>
      <c r="U79" s="1451"/>
      <c r="V79" s="1451"/>
      <c r="W79" s="1451"/>
      <c r="X79" s="1451"/>
      <c r="Y79" s="1451"/>
      <c r="Z79" s="1451"/>
      <c r="AA79" s="1451"/>
      <c r="AB79" s="1451"/>
      <c r="AC79" s="1451"/>
      <c r="AD79" s="1451"/>
      <c r="AE79" s="1451"/>
      <c r="AF79" s="1451"/>
      <c r="AG79" s="1451"/>
      <c r="AH79" s="1451"/>
      <c r="AI79" s="1451"/>
      <c r="AJ79" s="1451"/>
      <c r="AK79" s="1451"/>
      <c r="AL79" s="1451"/>
      <c r="AM79" s="1451"/>
      <c r="AN79" s="1451"/>
      <c r="AO79" s="1451"/>
      <c r="AP79" s="1451"/>
      <c r="AQ79" s="1451"/>
      <c r="AR79" s="1451"/>
      <c r="AS79" s="1451"/>
      <c r="AT79" s="1451"/>
      <c r="AU79" s="20"/>
      <c r="AV79" s="20"/>
      <c r="AW79" s="20"/>
      <c r="AX79" s="20"/>
      <c r="AY79" s="20"/>
      <c r="AZ79" s="20"/>
      <c r="BD79" s="1181" t="s">
        <v>2611</v>
      </c>
      <c r="BE79" s="1183">
        <f>'Points System'!AF837</f>
        <v>10</v>
      </c>
    </row>
    <row r="80" spans="1:57" ht="12.95" customHeight="1">
      <c r="A80" s="1451"/>
      <c r="B80" s="1451"/>
      <c r="C80" s="1451"/>
      <c r="D80" s="1451"/>
      <c r="E80" s="1451"/>
      <c r="F80" s="1451"/>
      <c r="G80" s="1451"/>
      <c r="H80" s="1451"/>
      <c r="I80" s="1451"/>
      <c r="J80" s="1451"/>
      <c r="K80" s="1451"/>
      <c r="L80" s="1451"/>
      <c r="M80" s="1451"/>
      <c r="N80" s="1451"/>
      <c r="O80" s="1451"/>
      <c r="P80" s="1451"/>
      <c r="Q80" s="1451"/>
      <c r="R80" s="1451"/>
      <c r="S80" s="1451"/>
      <c r="T80" s="1451"/>
      <c r="U80" s="1451"/>
      <c r="V80" s="1451"/>
      <c r="W80" s="1451"/>
      <c r="X80" s="1451"/>
      <c r="Y80" s="1451"/>
      <c r="Z80" s="1451"/>
      <c r="AA80" s="1451"/>
      <c r="AB80" s="1451"/>
      <c r="AC80" s="1451"/>
      <c r="AD80" s="1451"/>
      <c r="AE80" s="1451"/>
      <c r="AF80" s="1451"/>
      <c r="AG80" s="1451"/>
      <c r="AH80" s="1451"/>
      <c r="AI80" s="1451"/>
      <c r="AJ80" s="1451"/>
      <c r="AK80" s="1451"/>
      <c r="AL80" s="1451"/>
      <c r="AM80" s="1451"/>
      <c r="AN80" s="1451"/>
      <c r="AO80" s="1451"/>
      <c r="AP80" s="1451"/>
      <c r="AQ80" s="1451"/>
      <c r="AR80" s="1451"/>
      <c r="AS80" s="1451"/>
      <c r="AT80" s="1451"/>
      <c r="AU80" s="20"/>
      <c r="AV80" s="20"/>
      <c r="AW80" s="20"/>
      <c r="AX80" s="20"/>
      <c r="AY80" s="20"/>
      <c r="AZ80" s="20"/>
      <c r="BD80" s="1182" t="s">
        <v>2497</v>
      </c>
      <c r="BE80" s="1183">
        <f>'Points System'!AF839</f>
        <v>10</v>
      </c>
    </row>
    <row r="81" spans="1:57" ht="12.95" customHeight="1">
      <c r="A81" s="1451"/>
      <c r="B81" s="1451"/>
      <c r="C81" s="1451"/>
      <c r="D81" s="1451"/>
      <c r="E81" s="1451"/>
      <c r="F81" s="1451"/>
      <c r="G81" s="1451"/>
      <c r="H81" s="1451"/>
      <c r="I81" s="1451"/>
      <c r="J81" s="1451"/>
      <c r="K81" s="1451"/>
      <c r="L81" s="1451"/>
      <c r="M81" s="1451"/>
      <c r="N81" s="1451"/>
      <c r="O81" s="1451"/>
      <c r="P81" s="1451"/>
      <c r="Q81" s="1451"/>
      <c r="R81" s="1451"/>
      <c r="S81" s="1451"/>
      <c r="T81" s="1451"/>
      <c r="U81" s="1451"/>
      <c r="V81" s="1451"/>
      <c r="W81" s="1451"/>
      <c r="X81" s="1451"/>
      <c r="Y81" s="1451"/>
      <c r="Z81" s="1451"/>
      <c r="AA81" s="1451"/>
      <c r="AB81" s="1451"/>
      <c r="AC81" s="1451"/>
      <c r="AD81" s="1451"/>
      <c r="AE81" s="1451"/>
      <c r="AF81" s="1451"/>
      <c r="AG81" s="1451"/>
      <c r="AH81" s="1451"/>
      <c r="AI81" s="1451"/>
      <c r="AJ81" s="1451"/>
      <c r="AK81" s="1451"/>
      <c r="AL81" s="1451"/>
      <c r="AM81" s="1451"/>
      <c r="AN81" s="1451"/>
      <c r="AO81" s="1451"/>
      <c r="AP81" s="1451"/>
      <c r="AQ81" s="1451"/>
      <c r="AR81" s="1451"/>
      <c r="AS81" s="1451"/>
      <c r="AT81" s="1451"/>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479" t="s">
        <v>2113</v>
      </c>
      <c r="B83" s="1479"/>
      <c r="C83" s="1479"/>
      <c r="D83" s="1479"/>
      <c r="E83" s="1479"/>
      <c r="F83" s="1479"/>
      <c r="G83" s="1479"/>
      <c r="H83" s="1479"/>
      <c r="I83" s="1479"/>
      <c r="J83" s="1479"/>
      <c r="K83" s="1479"/>
      <c r="L83" s="1479"/>
      <c r="M83" s="1479"/>
      <c r="N83" s="1479"/>
      <c r="O83" s="1479"/>
      <c r="P83" s="1479"/>
      <c r="Q83" s="1479"/>
      <c r="R83" s="1479"/>
      <c r="S83" s="1479"/>
      <c r="T83" s="1479"/>
      <c r="U83" s="1479"/>
      <c r="V83" s="1479"/>
      <c r="W83" s="1479"/>
      <c r="X83" s="1479"/>
      <c r="Y83" s="1479"/>
      <c r="Z83" s="1479"/>
      <c r="AA83" s="1479"/>
      <c r="AB83" s="1479"/>
      <c r="AC83" s="1479"/>
      <c r="AD83" s="1479"/>
      <c r="AE83" s="1479"/>
      <c r="AF83" s="1479"/>
      <c r="AG83" s="1479"/>
      <c r="AH83" s="1479"/>
      <c r="AI83" s="1479"/>
      <c r="AJ83" s="1479"/>
      <c r="AK83" s="1479"/>
      <c r="AL83" s="1479"/>
      <c r="AM83" s="1479"/>
      <c r="AN83" s="1479"/>
      <c r="AO83" s="1479"/>
      <c r="AP83" s="1479"/>
      <c r="AQ83" s="1479"/>
      <c r="AR83" s="1479"/>
      <c r="AS83" s="1479"/>
      <c r="AT83" s="1479"/>
      <c r="AU83" s="20"/>
      <c r="AV83" s="20"/>
      <c r="AW83" s="20"/>
      <c r="AX83" s="20"/>
      <c r="AY83" s="20"/>
      <c r="AZ83" s="20"/>
      <c r="BD83" s="1181" t="s">
        <v>2500</v>
      </c>
      <c r="BE83" s="1187">
        <f>'Tie Breaker'!H5</f>
        <v>1.6586537436585878</v>
      </c>
    </row>
    <row r="84" spans="1:57" ht="12.95" customHeight="1">
      <c r="A84" s="1479"/>
      <c r="B84" s="1479"/>
      <c r="C84" s="1479"/>
      <c r="D84" s="1479"/>
      <c r="E84" s="1479"/>
      <c r="F84" s="1479"/>
      <c r="G84" s="1479"/>
      <c r="H84" s="1479"/>
      <c r="I84" s="1479"/>
      <c r="J84" s="1479"/>
      <c r="K84" s="1479"/>
      <c r="L84" s="1479"/>
      <c r="M84" s="1479"/>
      <c r="N84" s="1479"/>
      <c r="O84" s="1479"/>
      <c r="P84" s="1479"/>
      <c r="Q84" s="1479"/>
      <c r="R84" s="1479"/>
      <c r="S84" s="1479"/>
      <c r="T84" s="1479"/>
      <c r="U84" s="1479"/>
      <c r="V84" s="1479"/>
      <c r="W84" s="1479"/>
      <c r="X84" s="1479"/>
      <c r="Y84" s="1479"/>
      <c r="Z84" s="1479"/>
      <c r="AA84" s="1479"/>
      <c r="AB84" s="1479"/>
      <c r="AC84" s="1479"/>
      <c r="AD84" s="1479"/>
      <c r="AE84" s="1479"/>
      <c r="AF84" s="1479"/>
      <c r="AG84" s="1479"/>
      <c r="AH84" s="1479"/>
      <c r="AI84" s="1479"/>
      <c r="AJ84" s="1479"/>
      <c r="AK84" s="1479"/>
      <c r="AL84" s="1479"/>
      <c r="AM84" s="1479"/>
      <c r="AN84" s="1479"/>
      <c r="AO84" s="1479"/>
      <c r="AP84" s="1479"/>
      <c r="AQ84" s="1479"/>
      <c r="AR84" s="1479"/>
      <c r="AS84" s="1479"/>
      <c r="AT84" s="1479"/>
      <c r="AU84" s="20"/>
      <c r="AV84" s="20"/>
      <c r="AW84" s="20"/>
      <c r="AX84" s="20"/>
      <c r="AY84" s="20"/>
      <c r="AZ84" s="20"/>
      <c r="BD84" s="1182" t="s">
        <v>2501</v>
      </c>
      <c r="BE84" s="1183" t="str">
        <f>Application!O153</f>
        <v>City of Pasadena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William Huang</v>
      </c>
    </row>
    <row r="86" spans="1:57" ht="12.95" customHeight="1">
      <c r="A86" s="1479" t="s">
        <v>2114</v>
      </c>
      <c r="B86" s="1479"/>
      <c r="C86" s="1479"/>
      <c r="D86" s="1479"/>
      <c r="E86" s="1479"/>
      <c r="F86" s="1479"/>
      <c r="G86" s="1479"/>
      <c r="H86" s="1479"/>
      <c r="I86" s="1479"/>
      <c r="J86" s="1479"/>
      <c r="K86" s="1479"/>
      <c r="L86" s="1479"/>
      <c r="M86" s="1479"/>
      <c r="N86" s="1479"/>
      <c r="O86" s="1479"/>
      <c r="P86" s="1479"/>
      <c r="Q86" s="1479"/>
      <c r="R86" s="1479"/>
      <c r="S86" s="1479"/>
      <c r="T86" s="1479"/>
      <c r="U86" s="1479"/>
      <c r="V86" s="1479"/>
      <c r="W86" s="1479"/>
      <c r="X86" s="1479"/>
      <c r="Y86" s="1479"/>
      <c r="Z86" s="1479"/>
      <c r="AA86" s="1479"/>
      <c r="AB86" s="1479"/>
      <c r="AC86" s="1479"/>
      <c r="AD86" s="1479"/>
      <c r="AE86" s="1479"/>
      <c r="AF86" s="1479"/>
      <c r="AG86" s="1479"/>
      <c r="AH86" s="1479"/>
      <c r="AI86" s="1479"/>
      <c r="AJ86" s="1479"/>
      <c r="AK86" s="1479"/>
      <c r="AL86" s="1479"/>
      <c r="AM86" s="1479"/>
      <c r="AN86" s="1479"/>
      <c r="AO86" s="1479"/>
      <c r="AP86" s="1479"/>
      <c r="AQ86" s="1479"/>
      <c r="AR86" s="1479"/>
      <c r="AS86" s="1479"/>
      <c r="AT86" s="1479"/>
      <c r="AU86" s="20"/>
      <c r="AV86" s="20"/>
      <c r="AW86" s="20"/>
      <c r="AX86" s="20"/>
      <c r="AY86" s="20"/>
      <c r="AZ86" s="20"/>
      <c r="BD86" s="1182" t="s">
        <v>2503</v>
      </c>
      <c r="BE86" s="1183" t="str">
        <f>Application!O155</f>
        <v xml:space="preserve">Housing Director </v>
      </c>
    </row>
    <row r="87" spans="1:57" ht="12.95" customHeight="1">
      <c r="A87" s="1479"/>
      <c r="B87" s="1479"/>
      <c r="C87" s="1479"/>
      <c r="D87" s="1479"/>
      <c r="E87" s="1479"/>
      <c r="F87" s="1479"/>
      <c r="G87" s="1479"/>
      <c r="H87" s="1479"/>
      <c r="I87" s="1479"/>
      <c r="J87" s="1479"/>
      <c r="K87" s="1479"/>
      <c r="L87" s="1479"/>
      <c r="M87" s="1479"/>
      <c r="N87" s="1479"/>
      <c r="O87" s="1479"/>
      <c r="P87" s="1479"/>
      <c r="Q87" s="1479"/>
      <c r="R87" s="1479"/>
      <c r="S87" s="1479"/>
      <c r="T87" s="1479"/>
      <c r="U87" s="1479"/>
      <c r="V87" s="1479"/>
      <c r="W87" s="1479"/>
      <c r="X87" s="1479"/>
      <c r="Y87" s="1479"/>
      <c r="Z87" s="1479"/>
      <c r="AA87" s="1479"/>
      <c r="AB87" s="1479"/>
      <c r="AC87" s="1479"/>
      <c r="AD87" s="1479"/>
      <c r="AE87" s="1479"/>
      <c r="AF87" s="1479"/>
      <c r="AG87" s="1479"/>
      <c r="AH87" s="1479"/>
      <c r="AI87" s="1479"/>
      <c r="AJ87" s="1479"/>
      <c r="AK87" s="1479"/>
      <c r="AL87" s="1479"/>
      <c r="AM87" s="1479"/>
      <c r="AN87" s="1479"/>
      <c r="AO87" s="1479"/>
      <c r="AP87" s="1479"/>
      <c r="AQ87" s="1479"/>
      <c r="AR87" s="1479"/>
      <c r="AS87" s="1479"/>
      <c r="AT87" s="1479"/>
      <c r="AU87" s="20"/>
      <c r="AV87" s="20"/>
      <c r="AW87" s="20"/>
      <c r="AX87" s="20"/>
      <c r="AY87" s="20"/>
      <c r="AZ87" s="20"/>
      <c r="BD87" s="1181" t="s">
        <v>2504</v>
      </c>
      <c r="BE87" s="1183" t="str">
        <f>Application!O156</f>
        <v>649 N. Fair Oaks Avenue, Suite 202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Pasadena</v>
      </c>
    </row>
    <row r="89" spans="1:57" ht="12.95" customHeight="1">
      <c r="A89" s="1485" t="s">
        <v>2115</v>
      </c>
      <c r="B89" s="1485"/>
      <c r="C89" s="1485"/>
      <c r="D89" s="1485"/>
      <c r="E89" s="1485"/>
      <c r="F89" s="1485"/>
      <c r="G89" s="1485"/>
      <c r="H89" s="1485"/>
      <c r="I89" s="1485"/>
      <c r="J89" s="1485"/>
      <c r="K89" s="1485"/>
      <c r="L89" s="1485"/>
      <c r="M89" s="1485"/>
      <c r="N89" s="1485"/>
      <c r="O89" s="1485"/>
      <c r="P89" s="1485"/>
      <c r="Q89" s="1485"/>
      <c r="R89" s="1485"/>
      <c r="S89" s="1485"/>
      <c r="T89" s="1485"/>
      <c r="U89" s="1485"/>
      <c r="V89" s="1485"/>
      <c r="W89" s="1485"/>
      <c r="X89" s="1485"/>
      <c r="Y89" s="1485"/>
      <c r="Z89" s="1485"/>
      <c r="AA89" s="1485"/>
      <c r="AB89" s="1485"/>
      <c r="AC89" s="1485"/>
      <c r="AD89" s="1485"/>
      <c r="AE89" s="1485"/>
      <c r="AF89" s="1485"/>
      <c r="AG89" s="1485"/>
      <c r="AH89" s="1485"/>
      <c r="AI89" s="1485"/>
      <c r="AJ89" s="1485"/>
      <c r="AK89" s="1485"/>
      <c r="AL89" s="1485"/>
      <c r="AM89" s="1485"/>
      <c r="AN89" s="1485"/>
      <c r="AO89" s="1485"/>
      <c r="AP89" s="1485"/>
      <c r="AQ89" s="1485"/>
      <c r="AR89" s="1485"/>
      <c r="AS89" s="1485"/>
      <c r="AT89" s="1485"/>
      <c r="AU89" s="17"/>
      <c r="AV89" s="17"/>
      <c r="AW89" s="17"/>
      <c r="AX89" s="17"/>
      <c r="AY89" s="17"/>
      <c r="AZ89" s="20"/>
      <c r="BD89" s="1181" t="s">
        <v>2506</v>
      </c>
      <c r="BE89" s="1183">
        <f>Application!O158</f>
        <v>91103</v>
      </c>
    </row>
    <row r="90" spans="1:57" ht="12.95" customHeight="1">
      <c r="A90" s="1485"/>
      <c r="B90" s="1485"/>
      <c r="C90" s="1485"/>
      <c r="D90" s="1485"/>
      <c r="E90" s="1485"/>
      <c r="F90" s="1485"/>
      <c r="G90" s="1485"/>
      <c r="H90" s="1485"/>
      <c r="I90" s="1485"/>
      <c r="J90" s="1485"/>
      <c r="K90" s="1485"/>
      <c r="L90" s="1485"/>
      <c r="M90" s="1485"/>
      <c r="N90" s="1485"/>
      <c r="O90" s="1485"/>
      <c r="P90" s="1485"/>
      <c r="Q90" s="1485"/>
      <c r="R90" s="1485"/>
      <c r="S90" s="1485"/>
      <c r="T90" s="1485"/>
      <c r="U90" s="1485"/>
      <c r="V90" s="1485"/>
      <c r="W90" s="1485"/>
      <c r="X90" s="1485"/>
      <c r="Y90" s="1485"/>
      <c r="Z90" s="1485"/>
      <c r="AA90" s="1485"/>
      <c r="AB90" s="1485"/>
      <c r="AC90" s="1485"/>
      <c r="AD90" s="1485"/>
      <c r="AE90" s="1485"/>
      <c r="AF90" s="1485"/>
      <c r="AG90" s="1485"/>
      <c r="AH90" s="1485"/>
      <c r="AI90" s="1485"/>
      <c r="AJ90" s="1485"/>
      <c r="AK90" s="1485"/>
      <c r="AL90" s="1485"/>
      <c r="AM90" s="1485"/>
      <c r="AN90" s="1485"/>
      <c r="AO90" s="1485"/>
      <c r="AP90" s="1485"/>
      <c r="AQ90" s="1485"/>
      <c r="AR90" s="1485"/>
      <c r="AS90" s="1485"/>
      <c r="AT90" s="1485"/>
      <c r="AU90" s="17"/>
      <c r="AV90" s="17"/>
      <c r="AW90" s="17"/>
      <c r="AX90" s="17"/>
      <c r="AY90" s="17"/>
      <c r="AZ90" s="20"/>
      <c r="BD90" s="1182" t="s">
        <v>2507</v>
      </c>
      <c r="BE90" s="1183" t="str">
        <f>Application!H16</f>
        <v xml:space="preserve">Greenwood Colorado,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11150 W Olympic Blvd, Suite 620</v>
      </c>
    </row>
    <row r="92" spans="1:57" ht="12.95" customHeight="1">
      <c r="A92" s="1472" t="s">
        <v>2116</v>
      </c>
      <c r="B92" s="1472"/>
      <c r="C92" s="1472"/>
      <c r="D92" s="1472"/>
      <c r="E92" s="1472"/>
      <c r="F92" s="1472"/>
      <c r="G92" s="1472"/>
      <c r="H92" s="1472"/>
      <c r="I92" s="1472"/>
      <c r="J92" s="1472"/>
      <c r="K92" s="1472"/>
      <c r="L92" s="1472"/>
      <c r="M92" s="1472"/>
      <c r="N92" s="1472"/>
      <c r="O92" s="1472"/>
      <c r="P92" s="1472"/>
      <c r="Q92" s="1472"/>
      <c r="R92" s="1472"/>
      <c r="S92" s="1472"/>
      <c r="T92" s="1472"/>
      <c r="U92" s="1472"/>
      <c r="V92" s="1472"/>
      <c r="W92" s="1472"/>
      <c r="X92" s="1472"/>
      <c r="Y92" s="1472"/>
      <c r="Z92" s="1472"/>
      <c r="AA92" s="1472"/>
      <c r="AB92" s="1472"/>
      <c r="AC92" s="1472"/>
      <c r="AD92" s="1472"/>
      <c r="AE92" s="1472"/>
      <c r="AF92" s="1472"/>
      <c r="AG92" s="1472"/>
      <c r="AH92" s="1472"/>
      <c r="AI92" s="1472"/>
      <c r="AJ92" s="1472"/>
      <c r="AK92" s="1472"/>
      <c r="AL92" s="1472"/>
      <c r="AM92" s="1472"/>
      <c r="AN92" s="1472"/>
      <c r="AO92" s="1472"/>
      <c r="AP92" s="1472"/>
      <c r="AQ92" s="1472"/>
      <c r="AR92" s="1472"/>
      <c r="AS92" s="1472"/>
      <c r="AT92" s="1472"/>
      <c r="AU92" s="20"/>
      <c r="AV92" s="20"/>
      <c r="AW92" s="20"/>
      <c r="AX92" s="20"/>
      <c r="AY92" s="20"/>
      <c r="AZ92" s="20"/>
      <c r="BD92" s="1182" t="s">
        <v>2509</v>
      </c>
      <c r="BE92" s="1183" t="str">
        <f>Application!M243</f>
        <v xml:space="preserve">Los Angeles </v>
      </c>
    </row>
    <row r="93" spans="1:57" ht="12.95" customHeight="1">
      <c r="A93" s="1472"/>
      <c r="B93" s="1472"/>
      <c r="C93" s="1472"/>
      <c r="D93" s="1472"/>
      <c r="E93" s="1472"/>
      <c r="F93" s="1472"/>
      <c r="G93" s="1472"/>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472"/>
      <c r="AM93" s="1472"/>
      <c r="AN93" s="1472"/>
      <c r="AO93" s="1472"/>
      <c r="AP93" s="1472"/>
      <c r="AQ93" s="1472"/>
      <c r="AR93" s="1472"/>
      <c r="AS93" s="1472"/>
      <c r="AT93" s="1472"/>
      <c r="AU93" s="20"/>
      <c r="AV93" s="20"/>
      <c r="AW93" s="20"/>
      <c r="AX93" s="20"/>
      <c r="AY93" s="20"/>
      <c r="AZ93" s="20"/>
      <c r="BD93" s="1181" t="s">
        <v>2510</v>
      </c>
      <c r="BE93" s="1183" t="str">
        <f>Application!W243</f>
        <v>CA</v>
      </c>
    </row>
    <row r="94" spans="1:57" ht="12.95" customHeight="1">
      <c r="A94" s="1472"/>
      <c r="B94" s="1472"/>
      <c r="C94" s="1472"/>
      <c r="D94" s="1472"/>
      <c r="E94" s="1472"/>
      <c r="F94" s="1472"/>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472"/>
      <c r="AM94" s="1472"/>
      <c r="AN94" s="1472"/>
      <c r="AO94" s="1472"/>
      <c r="AP94" s="1472"/>
      <c r="AQ94" s="1472"/>
      <c r="AR94" s="1472"/>
      <c r="AS94" s="1472"/>
      <c r="AT94" s="1472"/>
      <c r="AU94" s="20"/>
      <c r="AV94" s="20"/>
      <c r="AW94" s="20"/>
      <c r="AX94" s="20"/>
      <c r="AY94" s="20"/>
      <c r="AZ94" s="20"/>
      <c r="BD94" s="1182" t="s">
        <v>2511</v>
      </c>
      <c r="BE94" s="1183">
        <f>Application!AC243</f>
        <v>90064</v>
      </c>
    </row>
    <row r="95" spans="1:57" ht="12.95" customHeight="1">
      <c r="A95" s="1472"/>
      <c r="B95" s="1472"/>
      <c r="C95" s="1472"/>
      <c r="D95" s="1472"/>
      <c r="E95" s="1472"/>
      <c r="F95" s="1472"/>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472"/>
      <c r="AM95" s="1472"/>
      <c r="AN95" s="1472"/>
      <c r="AO95" s="1472"/>
      <c r="AP95" s="1472"/>
      <c r="AQ95" s="1472"/>
      <c r="AR95" s="1472"/>
      <c r="AS95" s="1472"/>
      <c r="AT95" s="1472"/>
      <c r="AU95" s="20"/>
      <c r="AV95" s="20"/>
      <c r="AW95" s="20"/>
      <c r="AX95" s="20"/>
      <c r="AY95" s="20"/>
      <c r="AZ95" s="20"/>
      <c r="BD95" s="1181" t="s">
        <v>2512</v>
      </c>
      <c r="BE95" s="1183" t="str">
        <f>Application!M244</f>
        <v xml:space="preserve">Loren Messeri </v>
      </c>
    </row>
    <row r="96" spans="1:57" ht="12.95" customHeight="1">
      <c r="A96" s="1472"/>
      <c r="B96" s="1472"/>
      <c r="C96" s="1472"/>
      <c r="D96" s="1472"/>
      <c r="E96" s="1472"/>
      <c r="F96" s="1472"/>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472"/>
      <c r="AM96" s="1472"/>
      <c r="AN96" s="1472"/>
      <c r="AO96" s="1472"/>
      <c r="AP96" s="1472"/>
      <c r="AQ96" s="1472"/>
      <c r="AR96" s="1472"/>
      <c r="AS96" s="1472"/>
      <c r="AT96" s="1472"/>
      <c r="AU96" s="20"/>
      <c r="AV96" s="20"/>
      <c r="AW96" s="20"/>
      <c r="AX96" s="20"/>
      <c r="AY96" s="20"/>
      <c r="AZ96" s="20"/>
      <c r="BD96" s="1182" t="s">
        <v>2513</v>
      </c>
      <c r="BE96" s="1183" t="str">
        <f>Application!M246</f>
        <v>lmesseri@metahousing.com</v>
      </c>
    </row>
    <row r="97" spans="1:57" ht="12.95" customHeight="1">
      <c r="A97" s="1472"/>
      <c r="B97" s="1472"/>
      <c r="C97" s="1472"/>
      <c r="D97" s="1472"/>
      <c r="E97" s="1472"/>
      <c r="F97" s="1472"/>
      <c r="G97" s="1472"/>
      <c r="H97" s="1472"/>
      <c r="I97" s="1472"/>
      <c r="J97" s="1472"/>
      <c r="K97" s="1472"/>
      <c r="L97" s="1472"/>
      <c r="M97" s="1472"/>
      <c r="N97" s="1472"/>
      <c r="O97" s="1472"/>
      <c r="P97" s="1472"/>
      <c r="Q97" s="1472"/>
      <c r="R97" s="1472"/>
      <c r="S97" s="1472"/>
      <c r="T97" s="1472"/>
      <c r="U97" s="1472"/>
      <c r="V97" s="1472"/>
      <c r="W97" s="1472"/>
      <c r="X97" s="1472"/>
      <c r="Y97" s="1472"/>
      <c r="Z97" s="1472"/>
      <c r="AA97" s="1472"/>
      <c r="AB97" s="1472"/>
      <c r="AC97" s="1472"/>
      <c r="AD97" s="1472"/>
      <c r="AE97" s="1472"/>
      <c r="AF97" s="1472"/>
      <c r="AG97" s="1472"/>
      <c r="AH97" s="1472"/>
      <c r="AI97" s="1472"/>
      <c r="AJ97" s="1472"/>
      <c r="AK97" s="1472"/>
      <c r="AL97" s="1472"/>
      <c r="AM97" s="1472"/>
      <c r="AN97" s="1472"/>
      <c r="AO97" s="1472"/>
      <c r="AP97" s="1472"/>
      <c r="AQ97" s="1472"/>
      <c r="AR97" s="1472"/>
      <c r="AS97" s="1472"/>
      <c r="AT97" s="1472"/>
      <c r="AU97" s="20"/>
      <c r="AV97" s="20"/>
      <c r="AW97" s="20"/>
      <c r="AX97" s="20"/>
      <c r="AY97" s="20"/>
      <c r="AZ97" s="20"/>
      <c r="BD97" s="1181" t="s">
        <v>2514</v>
      </c>
      <c r="BE97" s="1183" t="str">
        <f>Application!M257</f>
        <v>lmesseri@metahousing.com</v>
      </c>
    </row>
    <row r="98" spans="1:57" ht="12.95" customHeight="1">
      <c r="A98" s="1472"/>
      <c r="B98" s="1472"/>
      <c r="C98" s="1472"/>
      <c r="D98" s="1472"/>
      <c r="E98" s="1472"/>
      <c r="F98" s="1472"/>
      <c r="G98" s="1472"/>
      <c r="H98" s="1472"/>
      <c r="I98" s="1472"/>
      <c r="J98" s="1472"/>
      <c r="K98" s="1472"/>
      <c r="L98" s="1472"/>
      <c r="M98" s="1472"/>
      <c r="N98" s="1472"/>
      <c r="O98" s="1472"/>
      <c r="P98" s="1472"/>
      <c r="Q98" s="1472"/>
      <c r="R98" s="1472"/>
      <c r="S98" s="1472"/>
      <c r="T98" s="1472"/>
      <c r="U98" s="1472"/>
      <c r="V98" s="1472"/>
      <c r="W98" s="1472"/>
      <c r="X98" s="1472"/>
      <c r="Y98" s="1472"/>
      <c r="Z98" s="1472"/>
      <c r="AA98" s="1472"/>
      <c r="AB98" s="1472"/>
      <c r="AC98" s="1472"/>
      <c r="AD98" s="1472"/>
      <c r="AE98" s="1472"/>
      <c r="AF98" s="1472"/>
      <c r="AG98" s="1472"/>
      <c r="AH98" s="1472"/>
      <c r="AI98" s="1472"/>
      <c r="AJ98" s="1472"/>
      <c r="AK98" s="1472"/>
      <c r="AL98" s="1472"/>
      <c r="AM98" s="1472"/>
      <c r="AN98" s="1472"/>
      <c r="AO98" s="1472"/>
      <c r="AP98" s="1472"/>
      <c r="AQ98" s="1472"/>
      <c r="AR98" s="1472"/>
      <c r="AS98" s="1472"/>
      <c r="AT98" s="1472"/>
      <c r="AU98" s="20"/>
      <c r="AV98" s="20"/>
      <c r="AW98" s="20"/>
      <c r="AX98" s="20"/>
      <c r="AY98" s="20"/>
      <c r="AZ98" s="20"/>
      <c r="BD98" s="1182" t="s">
        <v>2515</v>
      </c>
      <c r="BE98" s="1183" t="str">
        <f>Application!M265</f>
        <v>graham@wchousing.org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5" customHeight="1">
      <c r="A100" s="1486" t="s">
        <v>2117</v>
      </c>
      <c r="B100" s="1486"/>
      <c r="C100" s="1486"/>
      <c r="D100" s="1486"/>
      <c r="E100" s="1486"/>
      <c r="F100" s="1486"/>
      <c r="G100" s="1486"/>
      <c r="H100" s="1486"/>
      <c r="I100" s="1486"/>
      <c r="J100" s="1486"/>
      <c r="K100" s="1486"/>
      <c r="L100" s="1486"/>
      <c r="M100" s="1486"/>
      <c r="N100" s="1486"/>
      <c r="O100" s="1486"/>
      <c r="P100" s="1486"/>
      <c r="Q100" s="1486"/>
      <c r="R100" s="1486"/>
      <c r="S100" s="1486"/>
      <c r="T100" s="1486"/>
      <c r="U100" s="1486"/>
      <c r="V100" s="1486"/>
      <c r="W100" s="1486"/>
      <c r="X100" s="1486"/>
      <c r="Y100" s="1486"/>
      <c r="Z100" s="1486"/>
      <c r="AA100" s="1486"/>
      <c r="AB100" s="1486"/>
      <c r="AC100" s="1486"/>
      <c r="AD100" s="1486"/>
      <c r="AE100" s="1486"/>
      <c r="AF100" s="1486"/>
      <c r="AG100" s="1486"/>
      <c r="AH100" s="1486"/>
      <c r="AI100" s="1486"/>
      <c r="AJ100" s="1486"/>
      <c r="AK100" s="1486"/>
      <c r="AL100" s="1486"/>
      <c r="AM100" s="1486"/>
      <c r="AN100" s="1486"/>
      <c r="AO100" s="1486"/>
      <c r="AP100" s="1486"/>
      <c r="AQ100" s="1486"/>
      <c r="AR100" s="1486"/>
      <c r="AS100" s="1486"/>
      <c r="AT100" s="1486"/>
      <c r="AU100" s="20"/>
      <c r="AV100" s="20"/>
      <c r="AW100" s="20"/>
      <c r="AX100" s="20"/>
      <c r="AY100" s="20"/>
      <c r="AZ100" s="20"/>
      <c r="BD100" s="1182" t="s">
        <v>2517</v>
      </c>
      <c r="BE100" s="1183" t="str">
        <f>Application!L288</f>
        <v>cmaffris@metahousing.com</v>
      </c>
    </row>
    <row r="101" spans="1:57" ht="12.95" customHeight="1">
      <c r="A101" s="1486"/>
      <c r="B101" s="1486"/>
      <c r="C101" s="1486"/>
      <c r="D101" s="1486"/>
      <c r="E101" s="1486"/>
      <c r="F101" s="1486"/>
      <c r="G101" s="1486"/>
      <c r="H101" s="1486"/>
      <c r="I101" s="1486"/>
      <c r="J101" s="1486"/>
      <c r="K101" s="1486"/>
      <c r="L101" s="1486"/>
      <c r="M101" s="1486"/>
      <c r="N101" s="1486"/>
      <c r="O101" s="1486"/>
      <c r="P101" s="1486"/>
      <c r="Q101" s="1486"/>
      <c r="R101" s="1486"/>
      <c r="S101" s="1486"/>
      <c r="T101" s="1486"/>
      <c r="U101" s="1486"/>
      <c r="V101" s="1486"/>
      <c r="W101" s="1486"/>
      <c r="X101" s="1486"/>
      <c r="Y101" s="1486"/>
      <c r="Z101" s="1486"/>
      <c r="AA101" s="1486"/>
      <c r="AB101" s="1486"/>
      <c r="AC101" s="1486"/>
      <c r="AD101" s="1486"/>
      <c r="AE101" s="1486"/>
      <c r="AF101" s="1486"/>
      <c r="AG101" s="1486"/>
      <c r="AH101" s="1486"/>
      <c r="AI101" s="1486"/>
      <c r="AJ101" s="1486"/>
      <c r="AK101" s="1486"/>
      <c r="AL101" s="1486"/>
      <c r="AM101" s="1486"/>
      <c r="AN101" s="1486"/>
      <c r="AO101" s="1486"/>
      <c r="AP101" s="1486"/>
      <c r="AQ101" s="1486"/>
      <c r="AR101" s="1486"/>
      <c r="AS101" s="1486"/>
      <c r="AT101" s="1486"/>
      <c r="AU101" s="20"/>
      <c r="AV101" s="20"/>
      <c r="AW101" s="20"/>
      <c r="AX101" s="20"/>
      <c r="AY101" s="20"/>
      <c r="AZ101" s="20"/>
      <c r="BD101" s="3" t="s">
        <v>2522</v>
      </c>
      <c r="BE101">
        <f>'Sources and Uses Budget'!C105</f>
        <v>64089184</v>
      </c>
    </row>
    <row r="102" spans="1:57" ht="12.95" customHeight="1">
      <c r="A102" s="1486"/>
      <c r="B102" s="1486"/>
      <c r="C102" s="1486"/>
      <c r="D102" s="1486"/>
      <c r="E102" s="1486"/>
      <c r="F102" s="1486"/>
      <c r="G102" s="1486"/>
      <c r="H102" s="1486"/>
      <c r="I102" s="1486"/>
      <c r="J102" s="1486"/>
      <c r="K102" s="1486"/>
      <c r="L102" s="1486"/>
      <c r="M102" s="1486"/>
      <c r="N102" s="1486"/>
      <c r="O102" s="1486"/>
      <c r="P102" s="1486"/>
      <c r="Q102" s="1486"/>
      <c r="R102" s="1486"/>
      <c r="S102" s="1486"/>
      <c r="T102" s="1486"/>
      <c r="U102" s="1486"/>
      <c r="V102" s="1486"/>
      <c r="W102" s="1486"/>
      <c r="X102" s="1486"/>
      <c r="Y102" s="1486"/>
      <c r="Z102" s="1486"/>
      <c r="AA102" s="1486"/>
      <c r="AB102" s="1486"/>
      <c r="AC102" s="1486"/>
      <c r="AD102" s="1486"/>
      <c r="AE102" s="1486"/>
      <c r="AF102" s="1486"/>
      <c r="AG102" s="1486"/>
      <c r="AH102" s="1486"/>
      <c r="AI102" s="1486"/>
      <c r="AJ102" s="1486"/>
      <c r="AK102" s="1486"/>
      <c r="AL102" s="1486"/>
      <c r="AM102" s="1486"/>
      <c r="AN102" s="1486"/>
      <c r="AO102" s="1486"/>
      <c r="AP102" s="1486"/>
      <c r="AQ102" s="1486"/>
      <c r="AR102" s="1486"/>
      <c r="AS102" s="1486"/>
      <c r="AT102" s="1486"/>
      <c r="AU102" s="20"/>
      <c r="AV102" s="20"/>
      <c r="AW102" s="20"/>
      <c r="AX102" s="20"/>
      <c r="AY102" s="20"/>
      <c r="AZ102" s="20"/>
      <c r="BD102" s="3" t="s">
        <v>2523</v>
      </c>
      <c r="BE102" t="b">
        <f>T197="Yes"</f>
        <v>0</v>
      </c>
    </row>
    <row r="103" spans="1:57" ht="12.95" customHeight="1">
      <c r="A103" s="1486"/>
      <c r="B103" s="1486"/>
      <c r="C103" s="1486"/>
      <c r="D103" s="1486"/>
      <c r="E103" s="1486"/>
      <c r="F103" s="1486"/>
      <c r="G103" s="1486"/>
      <c r="H103" s="1486"/>
      <c r="I103" s="1486"/>
      <c r="J103" s="1486"/>
      <c r="K103" s="1486"/>
      <c r="L103" s="1486"/>
      <c r="M103" s="1486"/>
      <c r="N103" s="1486"/>
      <c r="O103" s="1486"/>
      <c r="P103" s="1486"/>
      <c r="Q103" s="1486"/>
      <c r="R103" s="1486"/>
      <c r="S103" s="1486"/>
      <c r="T103" s="1486"/>
      <c r="U103" s="1486"/>
      <c r="V103" s="1486"/>
      <c r="W103" s="1486"/>
      <c r="X103" s="1486"/>
      <c r="Y103" s="1486"/>
      <c r="Z103" s="1486"/>
      <c r="AA103" s="1486"/>
      <c r="AB103" s="1486"/>
      <c r="AC103" s="1486"/>
      <c r="AD103" s="1486"/>
      <c r="AE103" s="1486"/>
      <c r="AF103" s="1486"/>
      <c r="AG103" s="1486"/>
      <c r="AH103" s="1486"/>
      <c r="AI103" s="1486"/>
      <c r="AJ103" s="1486"/>
      <c r="AK103" s="1486"/>
      <c r="AL103" s="1486"/>
      <c r="AM103" s="1486"/>
      <c r="AN103" s="1486"/>
      <c r="AO103" s="1486"/>
      <c r="AP103" s="1486"/>
      <c r="AQ103" s="1486"/>
      <c r="AR103" s="1486"/>
      <c r="AS103" s="1486"/>
      <c r="AT103" s="1486"/>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486" t="s">
        <v>2118</v>
      </c>
      <c r="B105" s="1486"/>
      <c r="C105" s="1486"/>
      <c r="D105" s="1486"/>
      <c r="E105" s="1486"/>
      <c r="F105" s="1486"/>
      <c r="G105" s="1486"/>
      <c r="H105" s="1486"/>
      <c r="I105" s="1486"/>
      <c r="J105" s="1486"/>
      <c r="K105" s="1486"/>
      <c r="L105" s="1486"/>
      <c r="M105" s="1486"/>
      <c r="N105" s="1486"/>
      <c r="O105" s="1486"/>
      <c r="P105" s="1486"/>
      <c r="Q105" s="1486"/>
      <c r="R105" s="1486"/>
      <c r="S105" s="1486"/>
      <c r="T105" s="1486"/>
      <c r="U105" s="1486"/>
      <c r="V105" s="1486"/>
      <c r="W105" s="1486"/>
      <c r="X105" s="1486"/>
      <c r="Y105" s="1486"/>
      <c r="Z105" s="1486"/>
      <c r="AA105" s="1486"/>
      <c r="AB105" s="1486"/>
      <c r="AC105" s="1486"/>
      <c r="AD105" s="1486"/>
      <c r="AE105" s="1486"/>
      <c r="AF105" s="1486"/>
      <c r="AG105" s="1486"/>
      <c r="AH105" s="1486"/>
      <c r="AI105" s="1486"/>
      <c r="AJ105" s="1486"/>
      <c r="AK105" s="1486"/>
      <c r="AL105" s="1486"/>
      <c r="AM105" s="1486"/>
      <c r="AN105" s="1486"/>
      <c r="AO105" s="1486"/>
      <c r="AP105" s="1486"/>
      <c r="AQ105" s="1486"/>
      <c r="AR105" s="1486"/>
      <c r="AS105" s="1486"/>
      <c r="AT105" s="1486"/>
      <c r="AU105" s="20"/>
      <c r="AV105" s="20"/>
      <c r="AW105" s="20"/>
      <c r="AX105" s="20"/>
      <c r="AY105" s="20"/>
      <c r="BD105" s="3" t="s">
        <v>2539</v>
      </c>
      <c r="BE105" s="1183" t="b">
        <f>V224="Yes"</f>
        <v>0</v>
      </c>
    </row>
    <row r="106" spans="1:57" ht="12.95" customHeight="1">
      <c r="A106" s="1486"/>
      <c r="B106" s="1486"/>
      <c r="C106" s="1486"/>
      <c r="D106" s="1486"/>
      <c r="E106" s="1486"/>
      <c r="F106" s="1486"/>
      <c r="G106" s="1486"/>
      <c r="H106" s="1486"/>
      <c r="I106" s="1486"/>
      <c r="J106" s="1486"/>
      <c r="K106" s="1486"/>
      <c r="L106" s="1486"/>
      <c r="M106" s="1486"/>
      <c r="N106" s="1486"/>
      <c r="O106" s="1486"/>
      <c r="P106" s="1486"/>
      <c r="Q106" s="1486"/>
      <c r="R106" s="1486"/>
      <c r="S106" s="1486"/>
      <c r="T106" s="1486"/>
      <c r="U106" s="1486"/>
      <c r="V106" s="1486"/>
      <c r="W106" s="1486"/>
      <c r="X106" s="1486"/>
      <c r="Y106" s="1486"/>
      <c r="Z106" s="1486"/>
      <c r="AA106" s="1486"/>
      <c r="AB106" s="1486"/>
      <c r="AC106" s="1486"/>
      <c r="AD106" s="1486"/>
      <c r="AE106" s="1486"/>
      <c r="AF106" s="1486"/>
      <c r="AG106" s="1486"/>
      <c r="AH106" s="1486"/>
      <c r="AI106" s="1486"/>
      <c r="AJ106" s="1486"/>
      <c r="AK106" s="1486"/>
      <c r="AL106" s="1486"/>
      <c r="AM106" s="1486"/>
      <c r="AN106" s="1486"/>
      <c r="AO106" s="1486"/>
      <c r="AP106" s="1486"/>
      <c r="AQ106" s="1486"/>
      <c r="AR106" s="1486"/>
      <c r="AS106" s="1486"/>
      <c r="AT106" s="1486"/>
      <c r="AU106" s="20"/>
      <c r="AV106" s="20"/>
      <c r="AW106" s="20"/>
      <c r="AX106" s="20"/>
      <c r="AY106" s="20"/>
      <c r="BD106" s="3" t="s">
        <v>2540</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74">
        <v>13</v>
      </c>
      <c r="H113" s="1474"/>
      <c r="I113" s="3" t="s">
        <v>182</v>
      </c>
      <c r="L113" s="1474" t="s">
        <v>2796</v>
      </c>
      <c r="M113" s="1474"/>
      <c r="N113" s="1474"/>
      <c r="O113" s="1474"/>
      <c r="P113" s="1491" t="s">
        <v>2603</v>
      </c>
      <c r="Q113" s="1491"/>
      <c r="R113" s="1491"/>
      <c r="S113" s="14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5" t="s">
        <v>2653</v>
      </c>
      <c r="D115" s="1475"/>
      <c r="E115" s="1475"/>
      <c r="F115" s="1475"/>
      <c r="G115" s="1475"/>
      <c r="H115" s="1475"/>
      <c r="I115" s="1475"/>
      <c r="J115" s="1475"/>
      <c r="K115" s="1475"/>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474"/>
      <c r="Z117" s="1474"/>
      <c r="AA117" s="1474"/>
      <c r="AB117" s="1474"/>
      <c r="AC117" s="1474"/>
      <c r="AD117" s="1474"/>
      <c r="AE117" s="1474"/>
      <c r="AF117" s="1474"/>
      <c r="AG117" s="1474"/>
      <c r="AH117" s="1474"/>
      <c r="AI117" s="1474"/>
      <c r="AJ117" s="1474"/>
      <c r="AK117" s="147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74" t="s">
        <v>2648</v>
      </c>
      <c r="Z120" s="1474"/>
      <c r="AA120" s="1474"/>
      <c r="AB120" s="1474"/>
      <c r="AC120" s="1474"/>
      <c r="AD120" s="1474"/>
      <c r="AE120" s="1474"/>
      <c r="AF120" s="1474"/>
      <c r="AG120" s="1474"/>
      <c r="AH120" s="1474"/>
      <c r="AI120" s="1474"/>
      <c r="AJ120" s="1474"/>
      <c r="AK120" s="147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1" t="s">
        <v>468</v>
      </c>
      <c r="CV122" s="1612"/>
      <c r="CW122" s="14"/>
      <c r="CX122" s="14" t="s">
        <v>633</v>
      </c>
      <c r="CY122" s="14"/>
      <c r="CZ122" s="14"/>
      <c r="DA122" s="14"/>
      <c r="DB122" s="14"/>
      <c r="DC122" s="14"/>
      <c r="DD122" s="14"/>
      <c r="DE122" s="14"/>
      <c r="DF122" s="14"/>
      <c r="DG122" s="1608" t="str">
        <f>T189</f>
        <v>Los Angeles</v>
      </c>
      <c r="DH122" s="1609"/>
      <c r="DI122" s="1609"/>
      <c r="DJ122" s="1609"/>
      <c r="DK122" s="1609"/>
      <c r="DL122" s="1609"/>
      <c r="DM122" s="1610"/>
    </row>
    <row r="123" spans="1:117" ht="12.95" customHeight="1">
      <c r="A123" s="3"/>
      <c r="B123" s="3"/>
      <c r="T123" s="3"/>
      <c r="U123" s="3"/>
      <c r="V123" s="3"/>
      <c r="W123" s="3"/>
      <c r="X123" s="3"/>
      <c r="Y123" s="1474" t="s">
        <v>2649</v>
      </c>
      <c r="Z123" s="1474"/>
      <c r="AA123" s="1474"/>
      <c r="AB123" s="1474"/>
      <c r="AC123" s="1474"/>
      <c r="AD123" s="1474"/>
      <c r="AE123" s="1474"/>
      <c r="AF123" s="1474"/>
      <c r="AG123" s="1474"/>
      <c r="AH123" s="1474"/>
      <c r="AI123" s="1474"/>
      <c r="AJ123" s="1474"/>
      <c r="AK123" s="147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50"/>
      <c r="G150" s="1350"/>
      <c r="H150" s="1350"/>
      <c r="I150" s="1350"/>
      <c r="J150" s="1350"/>
      <c r="K150" s="1350"/>
      <c r="L150" s="1350"/>
      <c r="M150" s="1350"/>
      <c r="N150" s="1350"/>
      <c r="O150" s="1350"/>
      <c r="P150" s="1350"/>
      <c r="Q150" s="1350"/>
      <c r="R150" s="1350"/>
      <c r="S150" s="1350"/>
      <c r="T150" s="135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644</v>
      </c>
      <c r="O153" s="1434" t="s">
        <v>2644</v>
      </c>
      <c r="P153" s="1434"/>
      <c r="Q153" s="1434"/>
      <c r="R153" s="1434"/>
      <c r="S153" s="1434"/>
      <c r="T153" s="1434"/>
      <c r="U153" s="1434"/>
      <c r="V153" s="1434"/>
      <c r="W153" s="1434"/>
      <c r="X153" s="1434"/>
      <c r="Y153" s="1434"/>
      <c r="Z153" s="1434"/>
      <c r="AA153" s="1434"/>
      <c r="AB153" s="1434"/>
      <c r="AC153" s="1434"/>
      <c r="AD153" s="1434"/>
      <c r="AE153" s="1434"/>
      <c r="AF153" s="1434"/>
      <c r="AG153" s="1434"/>
      <c r="AH153" s="1434"/>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439</v>
      </c>
      <c r="O154" s="1457" t="s">
        <v>2645</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2395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483" t="s">
        <v>2732</v>
      </c>
      <c r="P155" s="1484"/>
      <c r="Q155" s="1484"/>
      <c r="R155" s="1484"/>
      <c r="S155" s="1484"/>
      <c r="T155" s="1484"/>
      <c r="U155" s="1484"/>
      <c r="V155" s="1484"/>
      <c r="W155" s="1484"/>
      <c r="X155" s="1484"/>
      <c r="Y155" s="1484"/>
      <c r="Z155" s="1484"/>
      <c r="AA155" s="1484"/>
      <c r="AB155" s="1484"/>
      <c r="AC155" s="1484"/>
      <c r="AD155" s="1484"/>
      <c r="AE155" s="1484"/>
      <c r="AF155" s="1484"/>
      <c r="AG155" s="1484"/>
      <c r="AH155" s="1484"/>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80" t="s">
        <v>2646</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34" t="s">
        <v>2647</v>
      </c>
      <c r="P157" s="1434"/>
      <c r="Q157" s="1434"/>
      <c r="R157" s="1434"/>
      <c r="S157" s="1434"/>
      <c r="T157" s="1434"/>
      <c r="U157" s="1434"/>
      <c r="V157" s="1434"/>
      <c r="W157" s="1434"/>
      <c r="X157" s="143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9">
        <v>91103</v>
      </c>
      <c r="P158" s="1489"/>
      <c r="Q158" s="1489"/>
      <c r="R158" s="1489"/>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80" t="s">
        <v>2733</v>
      </c>
      <c r="P159" s="1480"/>
      <c r="Q159" s="1480"/>
      <c r="R159" s="1480"/>
      <c r="S159" s="1480"/>
      <c r="T159" s="1480"/>
      <c r="V159" s="97" t="s">
        <v>271</v>
      </c>
      <c r="W159" s="1490"/>
      <c r="X159" s="1490"/>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480" t="s">
        <v>2734</v>
      </c>
      <c r="P160" s="1480"/>
      <c r="Q160" s="1480"/>
      <c r="R160" s="1480"/>
      <c r="S160" s="1480"/>
      <c r="T160" s="148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459" t="s">
        <v>2735</v>
      </c>
      <c r="P161" s="1459"/>
      <c r="Q161" s="1459"/>
      <c r="R161" s="1459"/>
      <c r="S161" s="1459"/>
      <c r="T161" s="1459"/>
      <c r="U161" s="1459"/>
      <c r="V161" s="1459"/>
      <c r="W161" s="1459"/>
      <c r="X161" s="1459"/>
      <c r="Y161" s="1459"/>
      <c r="Z161" s="1459"/>
      <c r="AA161" s="1459"/>
      <c r="AB161" s="1459"/>
      <c r="AC161" s="1459"/>
      <c r="AD161" s="1459"/>
      <c r="AE161" s="1459"/>
      <c r="AF161" s="1459"/>
      <c r="AG161" s="1459"/>
      <c r="AH161" s="145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476" t="s">
        <v>2168</v>
      </c>
      <c r="E164" s="1476"/>
      <c r="F164" s="1476"/>
      <c r="G164" s="1476"/>
      <c r="H164" s="1476"/>
      <c r="I164" s="1476"/>
      <c r="J164" s="1476"/>
      <c r="K164" s="1476"/>
      <c r="L164" s="1476"/>
      <c r="M164" s="1476"/>
      <c r="N164" s="1476"/>
      <c r="O164" s="1476"/>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467" t="s">
        <v>538</v>
      </c>
      <c r="B169" s="1467"/>
      <c r="C169" s="1467"/>
      <c r="D169" s="1467"/>
      <c r="E169" s="1467"/>
      <c r="F169" s="1467"/>
      <c r="G169" s="1467"/>
      <c r="H169" s="1467"/>
      <c r="I169" s="1467"/>
      <c r="J169" s="1467"/>
      <c r="K169" s="1467"/>
      <c r="L169" s="1467"/>
      <c r="M169" s="1467"/>
      <c r="N169" s="1467"/>
      <c r="O169" s="1467"/>
      <c r="P169" s="1467"/>
      <c r="Q169" s="1467"/>
      <c r="R169" s="1467"/>
      <c r="S169" s="1467"/>
      <c r="T169" s="1467"/>
      <c r="U169" s="1467"/>
      <c r="V169" s="1467"/>
      <c r="W169" s="1467"/>
      <c r="X169" s="1467"/>
      <c r="Y169" s="1467"/>
      <c r="Z169" s="1467"/>
      <c r="AA169" s="1467"/>
      <c r="AB169" s="1467"/>
      <c r="AC169" s="1467"/>
      <c r="AD169" s="1467"/>
      <c r="AE169" s="1467"/>
      <c r="AF169" s="1467"/>
      <c r="AG169" s="1467"/>
      <c r="AH169" s="1467"/>
      <c r="AI169" s="1467"/>
      <c r="AJ169" s="1467"/>
      <c r="AK169" s="1467"/>
      <c r="AL169" s="1467"/>
      <c r="AM169" s="1467"/>
      <c r="AN169" s="1467"/>
      <c r="AO169" s="1467"/>
      <c r="AP169" s="1467"/>
      <c r="AQ169" s="1467"/>
      <c r="AR169" s="1467"/>
      <c r="AS169" s="1467"/>
      <c r="AT169" s="146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467"/>
      <c r="B170" s="1467"/>
      <c r="C170" s="1467"/>
      <c r="D170" s="1467"/>
      <c r="E170" s="1467"/>
      <c r="F170" s="1467"/>
      <c r="G170" s="1467"/>
      <c r="H170" s="1467"/>
      <c r="I170" s="1467"/>
      <c r="J170" s="1467"/>
      <c r="K170" s="1467"/>
      <c r="L170" s="1467"/>
      <c r="M170" s="1467"/>
      <c r="N170" s="1467"/>
      <c r="O170" s="1467"/>
      <c r="P170" s="1467"/>
      <c r="Q170" s="1467"/>
      <c r="R170" s="1467"/>
      <c r="S170" s="1467"/>
      <c r="T170" s="1467"/>
      <c r="U170" s="1467"/>
      <c r="V170" s="1467"/>
      <c r="W170" s="1467"/>
      <c r="X170" s="1467"/>
      <c r="Y170" s="1467"/>
      <c r="Z170" s="1467"/>
      <c r="AA170" s="1467"/>
      <c r="AB170" s="1467"/>
      <c r="AC170" s="1467"/>
      <c r="AD170" s="1467"/>
      <c r="AE170" s="1467"/>
      <c r="AF170" s="1467"/>
      <c r="AG170" s="1467"/>
      <c r="AH170" s="1467"/>
      <c r="AI170" s="1467"/>
      <c r="AJ170" s="1467"/>
      <c r="AK170" s="1467"/>
      <c r="AL170" s="1467"/>
      <c r="AM170" s="1467"/>
      <c r="AN170" s="1467"/>
      <c r="AO170" s="1467"/>
      <c r="AP170" s="1467"/>
      <c r="AQ170" s="1467"/>
      <c r="AR170" s="1467"/>
      <c r="AS170" s="1467"/>
      <c r="AT170" s="146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482" t="s">
        <v>371</v>
      </c>
      <c r="K173" s="1482"/>
      <c r="L173" s="1482"/>
      <c r="M173" s="1482"/>
      <c r="N173" s="1482"/>
      <c r="O173" s="1482"/>
      <c r="P173" s="1482"/>
      <c r="Q173" s="1482"/>
      <c r="R173" s="1482"/>
      <c r="S173" s="148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380" t="s">
        <v>2054</v>
      </c>
      <c r="K174" s="1380"/>
      <c r="L174" s="1380"/>
      <c r="M174" s="1380"/>
      <c r="N174" s="1380"/>
      <c r="O174" s="1380"/>
      <c r="P174" s="1380"/>
      <c r="Q174" s="1380"/>
      <c r="R174" s="1380"/>
      <c r="S174" s="1380"/>
      <c r="T174" s="1380"/>
      <c r="U174" s="1380"/>
      <c r="V174" s="1380"/>
      <c r="W174" s="1380"/>
      <c r="X174" s="1380"/>
      <c r="Y174" s="1380"/>
      <c r="Z174" s="1380"/>
      <c r="AA174" s="1380"/>
      <c r="AB174" s="1380"/>
      <c r="BB174" t="s">
        <v>1940</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9"/>
      <c r="V175" s="1399"/>
      <c r="BB175" t="s">
        <v>1908</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2033</v>
      </c>
      <c r="T176" s="27" t="s">
        <v>305</v>
      </c>
      <c r="U176" s="1402"/>
      <c r="V176" s="1402"/>
      <c r="W176" s="1" t="s">
        <v>306</v>
      </c>
      <c r="X176" s="1496"/>
      <c r="Y176" s="1496"/>
      <c r="BB176" t="s">
        <v>1941</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9" t="s">
        <v>668</v>
      </c>
      <c r="S177" s="1399"/>
      <c r="BB177" t="s">
        <v>2165</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2033</v>
      </c>
      <c r="AE178" s="27" t="s">
        <v>305</v>
      </c>
      <c r="AF178" s="1495"/>
      <c r="AG178" s="1495"/>
      <c r="AH178" s="1" t="s">
        <v>306</v>
      </c>
      <c r="AI178" s="1443"/>
      <c r="AJ178" s="1443"/>
      <c r="AK178" s="1443"/>
      <c r="BB178" t="s">
        <v>2166</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2628</v>
      </c>
      <c r="X180" s="1399" t="s">
        <v>668</v>
      </c>
      <c r="Y180" s="139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89" t="str">
        <f>H18</f>
        <v xml:space="preserve">Greenwood Colorado Apartments </v>
      </c>
      <c r="J184" s="1389"/>
      <c r="K184" s="1389"/>
      <c r="L184" s="1389"/>
      <c r="M184" s="1389"/>
      <c r="N184" s="1389"/>
      <c r="O184" s="1389"/>
      <c r="P184" s="1389"/>
      <c r="Q184" s="1389"/>
      <c r="R184" s="1389"/>
      <c r="S184" s="1389"/>
      <c r="T184" s="1389"/>
      <c r="U184" s="1389"/>
      <c r="V184" s="1389"/>
      <c r="W184" s="1389"/>
      <c r="X184" s="1389"/>
      <c r="Y184" s="1389"/>
      <c r="Z184" s="1389"/>
      <c r="AA184" s="1389"/>
      <c r="AB184" s="1389"/>
      <c r="AC184" s="1389"/>
      <c r="AD184" s="1389"/>
      <c r="AE184" s="1389"/>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57" t="s">
        <v>2667</v>
      </c>
      <c r="J185" s="1322"/>
      <c r="K185" s="1322"/>
      <c r="L185" s="1322"/>
      <c r="M185" s="1322"/>
      <c r="N185" s="1322"/>
      <c r="O185" s="1322"/>
      <c r="P185" s="1322"/>
      <c r="Q185" s="1322"/>
      <c r="R185" s="1322"/>
      <c r="S185" s="1322"/>
      <c r="T185" s="1322"/>
      <c r="U185" s="1322"/>
      <c r="V185" s="1322"/>
      <c r="W185" s="1322"/>
      <c r="X185" s="1322"/>
      <c r="Y185" s="1322"/>
      <c r="Z185" s="1322"/>
      <c r="AA185" s="1322"/>
      <c r="AB185" s="1322"/>
      <c r="AC185" s="1322"/>
      <c r="AD185" s="1322"/>
      <c r="AE185" s="1322"/>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55"/>
      <c r="F187" s="1455"/>
      <c r="G187" s="1455"/>
      <c r="H187" s="1455"/>
      <c r="I187" s="1455"/>
      <c r="J187" s="1455"/>
      <c r="K187" s="1455"/>
      <c r="L187" s="1455"/>
      <c r="M187" s="1455"/>
      <c r="N187" s="1455"/>
      <c r="O187" s="1455"/>
      <c r="P187" s="1455"/>
      <c r="Q187" s="1455"/>
      <c r="R187" s="1455"/>
      <c r="S187" s="1455"/>
      <c r="T187" s="1455"/>
      <c r="U187" s="1455"/>
      <c r="V187" s="1455"/>
      <c r="W187" s="1455"/>
      <c r="X187" s="1455"/>
      <c r="Y187" s="1455"/>
      <c r="Z187" s="1455"/>
      <c r="AA187" s="1455"/>
      <c r="AB187" s="1455"/>
      <c r="AC187" s="1455"/>
      <c r="AD187" s="1455"/>
      <c r="AE187" s="145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56"/>
      <c r="F188" s="1456"/>
      <c r="G188" s="1456"/>
      <c r="H188" s="1456"/>
      <c r="I188" s="1456"/>
      <c r="J188" s="1456"/>
      <c r="K188" s="1456"/>
      <c r="L188" s="1456"/>
      <c r="M188" s="1456"/>
      <c r="N188" s="1456"/>
      <c r="O188" s="1456"/>
      <c r="P188" s="1456"/>
      <c r="Q188" s="1456"/>
      <c r="R188" s="1456"/>
      <c r="S188" s="1456"/>
      <c r="T188" s="1456"/>
      <c r="U188" s="1456"/>
      <c r="V188" s="1456"/>
      <c r="W188" s="1456"/>
      <c r="X188" s="1456"/>
      <c r="Y188" s="1456"/>
      <c r="Z188" s="1456"/>
      <c r="AA188" s="1456"/>
      <c r="AB188" s="1456"/>
      <c r="AC188" s="1456"/>
      <c r="AD188" s="1456"/>
      <c r="AE188" s="145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34" t="s">
        <v>2647</v>
      </c>
      <c r="J189" s="1380"/>
      <c r="K189" s="1380"/>
      <c r="L189" s="1380"/>
      <c r="M189" s="1380"/>
      <c r="N189" s="1380"/>
      <c r="O189" s="1380"/>
      <c r="P189" s="1380"/>
      <c r="Q189" t="s">
        <v>581</v>
      </c>
      <c r="T189" s="1380" t="s">
        <v>493</v>
      </c>
      <c r="U189" s="1380"/>
      <c r="V189" s="1380"/>
      <c r="W189" s="1380"/>
      <c r="X189" s="1380"/>
      <c r="Y189" s="1380"/>
      <c r="Z189" s="1380"/>
      <c r="AA189" s="1380"/>
      <c r="AB189" s="1380"/>
      <c r="AC189" s="1380"/>
      <c r="AD189" s="1380"/>
      <c r="AE189" s="1380"/>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322">
        <v>91107</v>
      </c>
      <c r="J190" s="1322"/>
      <c r="K190" s="1322"/>
      <c r="L190" s="1322"/>
      <c r="M190" s="1322"/>
      <c r="N190" s="1322"/>
      <c r="O190" t="s">
        <v>584</v>
      </c>
      <c r="T190" s="1487">
        <v>463400</v>
      </c>
      <c r="U190" s="1487"/>
      <c r="V190" s="1487"/>
      <c r="W190" s="1487"/>
      <c r="X190" s="1487"/>
      <c r="Y190" s="1487"/>
      <c r="Z190" s="1487"/>
      <c r="AA190" s="1487"/>
      <c r="AB190" s="1487"/>
      <c r="AC190" s="1487"/>
      <c r="AD190" s="1487"/>
      <c r="AE190" s="1487"/>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462" t="s">
        <v>2650</v>
      </c>
      <c r="O191" s="1455"/>
      <c r="P191" s="1455"/>
      <c r="Q191" s="1455"/>
      <c r="R191" s="1455"/>
      <c r="S191" s="1455"/>
      <c r="T191" s="1455"/>
      <c r="U191" s="1455"/>
      <c r="V191" s="1455"/>
      <c r="W191" s="1455"/>
      <c r="X191" s="1455"/>
      <c r="Y191" s="1455"/>
      <c r="Z191" s="1455"/>
      <c r="AA191" s="1455"/>
      <c r="AB191" s="1455"/>
      <c r="AC191" s="1455"/>
      <c r="AD191" s="1455"/>
      <c r="AE191" s="1455"/>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56"/>
      <c r="O192" s="1456"/>
      <c r="P192" s="1456"/>
      <c r="Q192" s="1456"/>
      <c r="R192" s="1456"/>
      <c r="S192" s="1456"/>
      <c r="T192" s="1456"/>
      <c r="U192" s="1456"/>
      <c r="V192" s="1456"/>
      <c r="W192" s="1456"/>
      <c r="X192" s="1456"/>
      <c r="Y192" s="1456"/>
      <c r="Z192" s="1456"/>
      <c r="AA192" s="1456"/>
      <c r="AB192" s="1456"/>
      <c r="AC192" s="1456"/>
      <c r="AD192" s="1456"/>
      <c r="AE192" s="1456"/>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481" t="s">
        <v>1940</v>
      </c>
      <c r="U193" s="1481"/>
      <c r="V193" s="1481"/>
      <c r="W193" s="1481"/>
      <c r="X193" s="1481"/>
      <c r="Y193" s="1481"/>
      <c r="Z193" s="1481"/>
      <c r="AA193" s="1481"/>
      <c r="AB193" s="1481"/>
      <c r="AC193" s="1481"/>
      <c r="AD193" s="1481"/>
      <c r="AE193" s="1481"/>
      <c r="AF193" s="1481"/>
      <c r="AG193" s="1481"/>
      <c r="AH193" s="1481"/>
      <c r="AI193" s="1481"/>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99" t="s">
        <v>668</v>
      </c>
      <c r="AI194" s="1399"/>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99" t="s">
        <v>544</v>
      </c>
      <c r="U195" s="1399"/>
      <c r="W195" t="s">
        <v>683</v>
      </c>
      <c r="AH195" s="1399">
        <v>28</v>
      </c>
      <c r="AI195" s="1399"/>
      <c r="BC195" t="s">
        <v>1829</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19" t="s">
        <v>668</v>
      </c>
      <c r="U196" s="1319"/>
      <c r="W196" t="s">
        <v>684</v>
      </c>
      <c r="AH196" s="1399">
        <v>41</v>
      </c>
      <c r="AI196" s="139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19" t="s">
        <v>668</v>
      </c>
      <c r="U197" s="1319"/>
      <c r="W197" t="s">
        <v>685</v>
      </c>
      <c r="AH197" s="1399">
        <v>25</v>
      </c>
      <c r="AI197" s="139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19" t="s">
        <v>590</v>
      </c>
      <c r="U198" s="1319"/>
      <c r="V198"/>
      <c r="X198" s="1468" t="s">
        <v>2441</v>
      </c>
      <c r="Y198" s="1468"/>
      <c r="Z198" s="1468"/>
      <c r="AA198" s="1468"/>
      <c r="AB198" s="1468"/>
      <c r="AC198" s="1468"/>
      <c r="AD198" s="1468"/>
      <c r="AE198" s="1468"/>
      <c r="AF198" s="1468"/>
      <c r="AG198" s="1468"/>
      <c r="AH198" s="1468"/>
      <c r="AI198" s="1468"/>
      <c r="AJ198" s="1468"/>
      <c r="AK198" s="1468"/>
      <c r="AL198" s="1468"/>
      <c r="AM198" s="1468"/>
      <c r="AN198" s="1468"/>
      <c r="AO198" s="1468"/>
      <c r="AP198" s="1468"/>
      <c r="AQ198" s="1468"/>
      <c r="AR198" s="1468"/>
      <c r="AS198" s="1468"/>
      <c r="AT198" s="1468"/>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99" t="s">
        <v>668</v>
      </c>
      <c r="U199" s="1399"/>
      <c r="V199"/>
      <c r="W199"/>
      <c r="X199" s="1468"/>
      <c r="Y199" s="1468"/>
      <c r="Z199" s="1468"/>
      <c r="AA199" s="1468"/>
      <c r="AB199" s="1468"/>
      <c r="AC199" s="1468"/>
      <c r="AD199" s="1468"/>
      <c r="AE199" s="1468"/>
      <c r="AF199" s="1468"/>
      <c r="AG199" s="1468"/>
      <c r="AH199" s="1468"/>
      <c r="AI199" s="1468"/>
      <c r="AJ199" s="1468"/>
      <c r="AK199" s="1468"/>
      <c r="AL199" s="1468"/>
      <c r="AM199" s="1468"/>
      <c r="AN199" s="1468"/>
      <c r="AO199" s="1468"/>
      <c r="AP199" s="1468"/>
      <c r="AQ199" s="1468"/>
      <c r="AR199" s="1468"/>
      <c r="AS199" s="1468"/>
      <c r="AT199" s="1468"/>
      <c r="AU199"/>
      <c r="AV199"/>
      <c r="AW199"/>
      <c r="AX199"/>
      <c r="AY199"/>
      <c r="AZ199" s="30"/>
      <c r="BA199" s="30"/>
      <c r="BC199" t="s">
        <v>873</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2442</v>
      </c>
      <c r="T200" s="1399" t="s">
        <v>668</v>
      </c>
      <c r="U200" s="1399"/>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89" t="s">
        <v>385</v>
      </c>
      <c r="E204" s="1389"/>
      <c r="F204" s="1389"/>
      <c r="G204" s="1389"/>
      <c r="H204" s="1389"/>
      <c r="I204" s="1389"/>
      <c r="J204" s="1389"/>
      <c r="K204" s="1389"/>
      <c r="L204" s="1389"/>
      <c r="M204" s="1389"/>
      <c r="P204" s="1477">
        <f>M26</f>
        <v>2897473</v>
      </c>
      <c r="Q204" s="1478"/>
      <c r="R204" s="1478"/>
      <c r="S204" s="1478"/>
      <c r="T204" s="1478"/>
      <c r="U204" s="1478"/>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461" t="s">
        <v>1245</v>
      </c>
      <c r="E205" s="1389"/>
      <c r="F205" s="1389"/>
      <c r="G205" s="1389"/>
      <c r="H205" s="1389"/>
      <c r="I205" s="1389"/>
      <c r="J205" s="1389"/>
      <c r="K205" s="1389"/>
      <c r="L205" s="1389"/>
      <c r="M205" s="1389"/>
      <c r="P205" s="1478">
        <f>M27</f>
        <v>14000000</v>
      </c>
      <c r="Q205" s="1478"/>
      <c r="R205" s="1478"/>
      <c r="S205" s="1478"/>
      <c r="T205" s="1478"/>
      <c r="U205" s="1478"/>
      <c r="V205" s="28"/>
      <c r="W205" s="3" t="s">
        <v>1707</v>
      </c>
      <c r="Z205" s="1494" t="s">
        <v>2171</v>
      </c>
      <c r="AA205" s="1494"/>
      <c r="AB205" s="1494"/>
      <c r="AC205" s="1494"/>
      <c r="AD205" s="1494"/>
      <c r="AE205" s="1494"/>
      <c r="AF205" s="1494"/>
      <c r="AG205" s="1494"/>
      <c r="AH205" s="1494"/>
      <c r="AI205" s="1494"/>
      <c r="AJ205" s="1494"/>
      <c r="AK205" s="1494"/>
      <c r="AL205" s="1494"/>
      <c r="AM205" s="1494"/>
      <c r="AN205" s="1494"/>
      <c r="AP205" s="1350"/>
      <c r="AQ205" s="1350"/>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50" t="s">
        <v>2651</v>
      </c>
      <c r="E208" s="1450"/>
      <c r="F208" s="1450"/>
      <c r="G208" s="1450"/>
      <c r="H208" s="1450"/>
      <c r="I208" s="1450"/>
      <c r="J208" s="1450"/>
      <c r="K208" s="1450"/>
      <c r="L208" s="1450"/>
      <c r="M208" s="1450"/>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50" t="s">
        <v>1039</v>
      </c>
      <c r="E211" s="1450"/>
      <c r="F211" s="1450"/>
      <c r="G211" s="1450"/>
      <c r="H211" s="1450"/>
      <c r="I211" s="1450"/>
      <c r="J211" s="1450"/>
      <c r="K211" s="1450"/>
      <c r="L211" s="1450"/>
      <c r="M211" s="145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99">
        <v>0</v>
      </c>
      <c r="R212" s="1399"/>
      <c r="T212" s="1492">
        <f>IFERROR(Q212/AG449,0)</f>
        <v>0</v>
      </c>
      <c r="U212" s="1493"/>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525</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3" t="s">
        <v>590</v>
      </c>
      <c r="E214" s="1473"/>
      <c r="F214" s="1473"/>
      <c r="G214" s="1473"/>
      <c r="H214" s="1473"/>
      <c r="I214" s="1473"/>
      <c r="J214" s="1473"/>
      <c r="K214" s="1473"/>
      <c r="L214" s="1473"/>
      <c r="M214" s="1473"/>
      <c r="N214" s="1473"/>
      <c r="O214" s="1473"/>
      <c r="P214" s="1473"/>
      <c r="Q214" s="1473"/>
      <c r="R214" s="1473"/>
      <c r="S214" s="1473"/>
      <c r="T214" s="1473"/>
      <c r="U214" s="1473"/>
      <c r="V214" s="1473"/>
      <c r="W214" s="1473"/>
      <c r="X214" s="1473"/>
      <c r="Y214" s="1473"/>
      <c r="Z214" s="1473"/>
      <c r="AU214" s="21"/>
      <c r="AV214" s="21"/>
      <c r="AW214" s="21"/>
      <c r="AX214" s="21"/>
      <c r="AY214" s="21"/>
      <c r="BC214" t="s">
        <v>529</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441"/>
      <c r="AC215" s="1441"/>
      <c r="AD215" s="1441"/>
      <c r="AE215" s="1441"/>
      <c r="AF215" s="1441"/>
      <c r="AG215" s="1441"/>
      <c r="AH215" s="1441"/>
      <c r="AI215" s="1441"/>
      <c r="AJ215" s="1441"/>
      <c r="AK215" s="1441"/>
      <c r="AL215" s="1441"/>
      <c r="AM215" s="21"/>
      <c r="AN215" s="21"/>
      <c r="AO215" s="21"/>
      <c r="AP215" s="21"/>
      <c r="AQ215" s="21"/>
      <c r="AR215" s="21"/>
      <c r="AS215" s="21"/>
      <c r="AT215" s="21"/>
      <c r="AU215" s="21"/>
      <c r="AV215" s="21"/>
      <c r="AW215" s="21"/>
      <c r="AX215" s="21"/>
      <c r="AY215" s="21"/>
      <c r="BC215" t="s">
        <v>526</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441"/>
      <c r="AC216" s="1441"/>
      <c r="AD216" s="1441"/>
      <c r="AE216" s="1441"/>
      <c r="AF216" s="1441"/>
      <c r="AG216" s="1441"/>
      <c r="AH216" s="1441"/>
      <c r="AI216" s="1441"/>
      <c r="AJ216" s="1441"/>
      <c r="AK216" s="1441"/>
      <c r="AL216" s="1441"/>
      <c r="AM216" s="21"/>
      <c r="AN216" s="21"/>
      <c r="AO216" s="21"/>
      <c r="AP216" s="21"/>
      <c r="AQ216" s="21"/>
      <c r="AR216" s="21"/>
      <c r="AS216" s="21"/>
      <c r="AT216" s="21"/>
      <c r="AU216" s="21"/>
      <c r="AV216" s="21"/>
      <c r="AW216" s="21"/>
      <c r="AX216" s="21"/>
      <c r="AY216" s="21"/>
      <c r="BC216" t="s">
        <v>565</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2185</v>
      </c>
      <c r="D218" s="28"/>
      <c r="AC218" s="2" t="s">
        <v>2390</v>
      </c>
      <c r="BC218" t="s">
        <v>528</v>
      </c>
    </row>
    <row r="219" spans="1:108" ht="12.95" customHeight="1">
      <c r="A219" s="2"/>
      <c r="C219" s="2"/>
      <c r="D219" s="3" t="s">
        <v>2391</v>
      </c>
      <c r="AZ219" s="3"/>
      <c r="BA219" s="3"/>
      <c r="BC219" t="s">
        <v>377</v>
      </c>
    </row>
    <row r="220" spans="1:108" ht="12.95" customHeight="1">
      <c r="A220" s="2"/>
      <c r="C220" s="2"/>
      <c r="D220" s="1450" t="s">
        <v>872</v>
      </c>
      <c r="E220" s="1450"/>
      <c r="F220" s="1450"/>
      <c r="G220" s="1450"/>
      <c r="H220" s="1450"/>
      <c r="I220" s="1450"/>
      <c r="J220" s="1450"/>
      <c r="K220" s="1450"/>
      <c r="L220" s="1450"/>
      <c r="M220" s="1450"/>
      <c r="N220" s="1450"/>
      <c r="O220" s="1450"/>
      <c r="P220" s="1450"/>
      <c r="Q220" s="1450"/>
      <c r="R220" s="1450"/>
      <c r="S220" s="1450"/>
      <c r="T220" s="1450"/>
      <c r="U220" s="1450"/>
      <c r="V220" s="1450"/>
      <c r="W220" s="1450"/>
      <c r="X220" s="1450"/>
      <c r="Y220" s="1450"/>
      <c r="Z220" s="1450"/>
      <c r="AC220" s="1460" t="s">
        <v>872</v>
      </c>
      <c r="AD220" s="1460"/>
      <c r="AE220" s="1460"/>
      <c r="AF220" s="1460"/>
      <c r="AG220" s="1460"/>
      <c r="AH220" s="1460"/>
      <c r="AI220" s="1460"/>
      <c r="AJ220" s="1460"/>
      <c r="AK220" s="1460"/>
      <c r="AL220" s="1460"/>
      <c r="AM220" s="1460"/>
      <c r="AN220" s="1460"/>
      <c r="AO220" s="1460"/>
      <c r="AP220" s="1460"/>
      <c r="AQ220" s="1460"/>
      <c r="BA220" s="3"/>
      <c r="BC220" t="s">
        <v>300</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99" t="s">
        <v>668</v>
      </c>
      <c r="W224" s="1399"/>
      <c r="Y224" s="1193"/>
      <c r="BA224" s="3"/>
    </row>
    <row r="225" spans="1:69" ht="12.95" customHeight="1">
      <c r="A225" s="2"/>
      <c r="B225" s="14"/>
      <c r="C225" s="2"/>
      <c r="E225" s="3" t="s">
        <v>2540</v>
      </c>
      <c r="V225" s="1399" t="s">
        <v>668</v>
      </c>
      <c r="W225" s="139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319" t="s">
        <v>668</v>
      </c>
      <c r="W226" s="13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319" t="s">
        <v>668</v>
      </c>
      <c r="W227" s="13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319" t="s">
        <v>668</v>
      </c>
      <c r="W228" s="13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319" t="s">
        <v>668</v>
      </c>
      <c r="W229" s="13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67" t="s">
        <v>539</v>
      </c>
      <c r="B231" s="1467"/>
      <c r="C231" s="1467"/>
      <c r="D231" s="1467"/>
      <c r="E231" s="1467"/>
      <c r="F231" s="1467"/>
      <c r="G231" s="1467"/>
      <c r="H231" s="1467"/>
      <c r="I231" s="1467"/>
      <c r="J231" s="1467"/>
      <c r="K231" s="1467"/>
      <c r="L231" s="1467"/>
      <c r="M231" s="1467"/>
      <c r="N231" s="1467"/>
      <c r="O231" s="1467"/>
      <c r="P231" s="1467"/>
      <c r="Q231" s="1467"/>
      <c r="R231" s="1467"/>
      <c r="S231" s="1467"/>
      <c r="T231" s="1467"/>
      <c r="U231" s="1467"/>
      <c r="V231" s="1467"/>
      <c r="W231" s="1467"/>
      <c r="X231" s="1467"/>
      <c r="Y231" s="1467"/>
      <c r="Z231" s="1467"/>
      <c r="AA231" s="1467"/>
      <c r="AB231" s="1467"/>
      <c r="AC231" s="1467"/>
      <c r="AD231" s="1467"/>
      <c r="AE231" s="1467"/>
      <c r="AF231" s="1467"/>
      <c r="AG231" s="1467"/>
      <c r="AH231" s="1467"/>
      <c r="AI231" s="1467"/>
      <c r="AJ231" s="1467"/>
      <c r="AK231" s="1467"/>
      <c r="AL231" s="1467"/>
      <c r="AM231" s="1467"/>
      <c r="AN231" s="1467"/>
      <c r="AO231" s="1467"/>
      <c r="AP231" s="1467"/>
      <c r="AQ231" s="1467"/>
      <c r="AR231" s="1467"/>
      <c r="AS231" s="1467"/>
      <c r="AT231" s="1467"/>
      <c r="AU231" s="95"/>
      <c r="AV231" s="95"/>
      <c r="AW231" s="95"/>
      <c r="AX231" s="95"/>
      <c r="AY231" s="95"/>
      <c r="AZ231" s="3"/>
      <c r="BA231" s="3"/>
      <c r="BP231" s="34"/>
    </row>
    <row r="232" spans="1:69" ht="12.95" customHeight="1">
      <c r="A232" s="1467"/>
      <c r="B232" s="1467"/>
      <c r="C232" s="1467"/>
      <c r="D232" s="1467"/>
      <c r="E232" s="1467"/>
      <c r="F232" s="1467"/>
      <c r="G232" s="1467"/>
      <c r="H232" s="1467"/>
      <c r="I232" s="1467"/>
      <c r="J232" s="1467"/>
      <c r="K232" s="1467"/>
      <c r="L232" s="1467"/>
      <c r="M232" s="1467"/>
      <c r="N232" s="1467"/>
      <c r="O232" s="1467"/>
      <c r="P232" s="1467"/>
      <c r="Q232" s="1467"/>
      <c r="R232" s="1467"/>
      <c r="S232" s="1467"/>
      <c r="T232" s="1467"/>
      <c r="U232" s="1467"/>
      <c r="V232" s="1467"/>
      <c r="W232" s="1467"/>
      <c r="X232" s="1467"/>
      <c r="Y232" s="1467"/>
      <c r="Z232" s="1467"/>
      <c r="AA232" s="1467"/>
      <c r="AB232" s="1467"/>
      <c r="AC232" s="1467"/>
      <c r="AD232" s="1467"/>
      <c r="AE232" s="1467"/>
      <c r="AF232" s="1467"/>
      <c r="AG232" s="1467"/>
      <c r="AH232" s="1467"/>
      <c r="AI232" s="1467"/>
      <c r="AJ232" s="1467"/>
      <c r="AK232" s="1467"/>
      <c r="AL232" s="1467"/>
      <c r="AM232" s="1467"/>
      <c r="AN232" s="1467"/>
      <c r="AO232" s="1467"/>
      <c r="AP232" s="1467"/>
      <c r="AQ232" s="1467"/>
      <c r="AR232" s="1467"/>
      <c r="AS232" s="1467"/>
      <c r="AT232" s="1467"/>
      <c r="BA232" s="3"/>
      <c r="BB232" s="3"/>
      <c r="BQ232" s="34"/>
    </row>
    <row r="233" spans="1:69" ht="12.95" customHeight="1">
      <c r="AZ233" s="4"/>
      <c r="BA233" s="3"/>
      <c r="BB233" s="3"/>
      <c r="BQ233" s="34"/>
    </row>
    <row r="234" spans="1:69" ht="12.95" customHeight="1">
      <c r="A234" s="2" t="s">
        <v>319</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9" t="s">
        <v>590</v>
      </c>
      <c r="AJ235" s="139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9" t="s">
        <v>544</v>
      </c>
      <c r="AJ236" s="139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9" t="s">
        <v>590</v>
      </c>
      <c r="AJ237" s="139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9" t="s">
        <v>590</v>
      </c>
      <c r="AJ238" s="139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488" t="str">
        <f>H16</f>
        <v xml:space="preserve">Greenwood Colorado, LP </v>
      </c>
      <c r="N241" s="1488"/>
      <c r="O241" s="1488"/>
      <c r="P241" s="1488"/>
      <c r="Q241" s="1488"/>
      <c r="R241" s="1488"/>
      <c r="S241" s="1488"/>
      <c r="T241" s="1488"/>
      <c r="U241" s="1488"/>
      <c r="V241" s="1488"/>
      <c r="W241" s="1488"/>
      <c r="X241" s="1488"/>
      <c r="Y241" s="1488"/>
      <c r="Z241" s="1488"/>
      <c r="AA241" s="1488"/>
      <c r="AB241" s="1488"/>
      <c r="AC241" s="1488"/>
      <c r="AD241" s="1488"/>
      <c r="AE241" s="1488"/>
      <c r="AF241" s="1488"/>
      <c r="AG241" s="1488"/>
      <c r="AH241" s="1488"/>
      <c r="AI241" s="1488"/>
      <c r="AJ241" s="1488"/>
      <c r="AK241" s="1488"/>
      <c r="AZ241" s="4"/>
      <c r="BA241" s="3"/>
      <c r="BB241" s="205" t="s">
        <v>537</v>
      </c>
      <c r="BG241" s="241">
        <f>IF(AND(AND($M$258="nonprofit",$M$266="nonprofit",$M$274="for profit")),2,0)</f>
        <v>0</v>
      </c>
    </row>
    <row r="242" spans="1:67" ht="12.95" customHeight="1">
      <c r="D242" s="4" t="s">
        <v>85</v>
      </c>
      <c r="E242" s="4"/>
      <c r="F242" s="4"/>
      <c r="G242" s="4"/>
      <c r="H242" s="4"/>
      <c r="I242" s="4"/>
      <c r="J242" s="4"/>
      <c r="K242" s="4"/>
      <c r="M242" s="1434" t="s">
        <v>2652</v>
      </c>
      <c r="N242" s="1450"/>
      <c r="O242" s="1450"/>
      <c r="P242" s="1450"/>
      <c r="Q242" s="1450"/>
      <c r="R242" s="1450"/>
      <c r="S242" s="1450"/>
      <c r="T242" s="1450"/>
      <c r="U242" s="1450"/>
      <c r="V242" s="1450"/>
      <c r="W242" s="1450"/>
      <c r="X242" s="1450"/>
      <c r="Y242" s="1450"/>
      <c r="Z242" s="1450"/>
      <c r="AA242" s="1450"/>
      <c r="AB242" s="1450"/>
      <c r="AC242" s="1450"/>
      <c r="AD242" s="1450"/>
      <c r="AE242" s="1450"/>
      <c r="BB242" s="205" t="s">
        <v>537</v>
      </c>
      <c r="BG242" s="241">
        <f>IF(AND(AND($M$258="nonprofit",$M$266="for profit",$M$274="nonprofit")),2,0)</f>
        <v>0</v>
      </c>
    </row>
    <row r="243" spans="1:67" ht="12.95" customHeight="1">
      <c r="D243" s="4" t="s">
        <v>579</v>
      </c>
      <c r="E243" s="4"/>
      <c r="M243" s="1434" t="s">
        <v>2653</v>
      </c>
      <c r="N243" s="1450"/>
      <c r="O243" s="1450"/>
      <c r="P243" s="1450"/>
      <c r="Q243" s="1450"/>
      <c r="R243" s="1450"/>
      <c r="S243" s="1450"/>
      <c r="T243" s="1450"/>
      <c r="V243" s="33" t="s">
        <v>86</v>
      </c>
      <c r="W243" s="1457" t="s">
        <v>2654</v>
      </c>
      <c r="X243" s="1361"/>
      <c r="Y243" s="4" t="s">
        <v>582</v>
      </c>
      <c r="AC243" s="1450">
        <v>90064</v>
      </c>
      <c r="AD243" s="1450"/>
      <c r="AE243" s="1450"/>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34" t="s">
        <v>2655</v>
      </c>
      <c r="N244" s="1450"/>
      <c r="O244" s="1450"/>
      <c r="P244" s="1450"/>
      <c r="Q244" s="1450"/>
      <c r="R244" s="1450"/>
      <c r="S244" s="1450"/>
      <c r="T244" s="1450"/>
      <c r="U244" s="1450"/>
      <c r="V244" s="1450"/>
      <c r="W244" s="1450"/>
      <c r="X244" s="1450"/>
      <c r="Y244" s="1450"/>
      <c r="Z244" s="1450"/>
      <c r="AA244" s="1450"/>
      <c r="AB244" s="1450"/>
      <c r="AC244" s="1450"/>
      <c r="AD244" s="1450"/>
      <c r="AE244" s="1450"/>
      <c r="AI244" s="4"/>
      <c r="AJ244" s="4"/>
      <c r="AK244" s="4"/>
      <c r="AL244" s="4"/>
      <c r="AM244" s="4"/>
      <c r="AN244" s="4"/>
      <c r="AO244" s="4"/>
      <c r="AP244" s="4"/>
      <c r="AQ244" s="4"/>
      <c r="AR244" s="4"/>
      <c r="AS244" s="4"/>
      <c r="AT244" s="4"/>
      <c r="BB244" s="205"/>
      <c r="BG244" s="204"/>
    </row>
    <row r="245" spans="1:67" ht="12.95" customHeight="1">
      <c r="D245" s="4" t="s">
        <v>88</v>
      </c>
      <c r="E245" s="4"/>
      <c r="F245" s="4"/>
      <c r="M245" s="1463" t="s">
        <v>2656</v>
      </c>
      <c r="N245" s="1463"/>
      <c r="O245" s="1463"/>
      <c r="P245" s="1463"/>
      <c r="Q245" s="1463"/>
      <c r="R245" s="1463"/>
      <c r="S245" s="4" t="s">
        <v>206</v>
      </c>
      <c r="T245" s="4"/>
      <c r="U245" s="1361">
        <v>126</v>
      </c>
      <c r="V245" s="1361"/>
      <c r="W245" s="1361"/>
      <c r="X245" s="4" t="s">
        <v>89</v>
      </c>
      <c r="Z245" s="1463" t="s">
        <v>2657</v>
      </c>
      <c r="AA245" s="1463"/>
      <c r="AB245" s="1463"/>
      <c r="AC245" s="1463"/>
      <c r="AD245" s="1463"/>
      <c r="AE245" s="1463"/>
      <c r="AU245" s="4"/>
      <c r="AV245" s="4"/>
      <c r="AW245" s="4"/>
      <c r="AX245" s="4"/>
      <c r="AY245" s="4"/>
      <c r="AZ245" s="4"/>
      <c r="BB245" s="204" t="s">
        <v>536</v>
      </c>
      <c r="BG245" s="241">
        <f>IF(AND(AND($M$258="nonprofit",$M$266="nonprofit",$M$274="(select one)")),1,0)</f>
        <v>0</v>
      </c>
    </row>
    <row r="246" spans="1:67" ht="12.95" customHeight="1">
      <c r="D246" s="4" t="s">
        <v>90</v>
      </c>
      <c r="E246" s="4"/>
      <c r="F246" s="4"/>
      <c r="M246" s="1459" t="s">
        <v>2658</v>
      </c>
      <c r="N246" s="1459"/>
      <c r="O246" s="1459"/>
      <c r="P246" s="1459"/>
      <c r="Q246" s="1459"/>
      <c r="R246" s="1459"/>
      <c r="S246" s="1459"/>
      <c r="T246" s="1459"/>
      <c r="U246" s="1459"/>
      <c r="V246" s="1459"/>
      <c r="W246" s="1459"/>
      <c r="X246" s="1459"/>
      <c r="Y246" s="1459"/>
      <c r="Z246" s="1459"/>
      <c r="AA246" s="1459"/>
      <c r="AB246" s="1459"/>
      <c r="AC246" s="1459"/>
      <c r="AD246" s="1459"/>
      <c r="AE246" s="145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22" t="s">
        <v>527</v>
      </c>
      <c r="N247" s="1322"/>
      <c r="O247" s="1322"/>
      <c r="P247" s="1322"/>
      <c r="Q247" s="1322"/>
      <c r="R247" s="1322"/>
      <c r="S247" s="1322"/>
      <c r="T247" s="1322"/>
      <c r="U247" s="204" t="s">
        <v>904</v>
      </c>
      <c r="V247" s="204"/>
      <c r="W247" s="204"/>
      <c r="X247" s="204"/>
      <c r="Y247" s="204"/>
      <c r="Z247" s="204"/>
      <c r="AA247" s="1466"/>
      <c r="AB247" s="1466"/>
      <c r="AC247" s="1466"/>
      <c r="AD247" s="1466"/>
      <c r="AE247" s="1466"/>
      <c r="AF247" s="1466"/>
      <c r="AG247" s="1466"/>
      <c r="AH247" s="1466"/>
      <c r="AI247" s="1466"/>
      <c r="AJ247" s="1466"/>
      <c r="AK247" s="146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380"/>
      <c r="N248" s="1380"/>
      <c r="O248" s="1380"/>
      <c r="P248" s="1380"/>
      <c r="Q248" s="1380"/>
      <c r="R248" s="1380"/>
      <c r="S248" s="1380"/>
      <c r="T248" s="1380"/>
      <c r="U248" s="1380"/>
      <c r="V248" s="1380"/>
      <c r="W248" s="1380"/>
      <c r="X248" s="1380"/>
      <c r="Y248" s="1380"/>
      <c r="Z248" s="1380"/>
      <c r="AA248" s="1380"/>
      <c r="AB248" s="1380"/>
      <c r="AC248" s="1380"/>
      <c r="AD248" s="1380"/>
      <c r="AE248" s="1380"/>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97" t="s">
        <v>2659</v>
      </c>
      <c r="N252" s="1471"/>
      <c r="O252" s="1471"/>
      <c r="P252" s="1471"/>
      <c r="Q252" s="1471"/>
      <c r="R252" s="1471"/>
      <c r="S252" s="1471"/>
      <c r="T252" s="1471"/>
      <c r="U252" s="1471"/>
      <c r="V252" s="1471"/>
      <c r="W252" s="1471"/>
      <c r="X252" s="1471"/>
      <c r="Y252" s="1471"/>
      <c r="Z252" s="1471"/>
      <c r="AA252" s="1471"/>
      <c r="AB252" s="1471"/>
      <c r="AC252" s="1471"/>
      <c r="AD252" s="1471"/>
      <c r="AE252" s="1471"/>
      <c r="AF252" s="1471" t="s">
        <v>2660</v>
      </c>
      <c r="AG252" s="1471"/>
      <c r="AH252" s="1471"/>
      <c r="AI252" s="1471"/>
      <c r="AJ252" s="1471"/>
      <c r="AK252" s="147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50" t="s">
        <v>2652</v>
      </c>
      <c r="N253" s="1450"/>
      <c r="O253" s="1450"/>
      <c r="P253" s="1450"/>
      <c r="Q253" s="1450"/>
      <c r="R253" s="1450"/>
      <c r="S253" s="1450"/>
      <c r="T253" s="1450"/>
      <c r="U253" s="1450"/>
      <c r="V253" s="1450"/>
      <c r="W253" s="1450"/>
      <c r="X253" s="1450"/>
      <c r="Y253" s="1450"/>
      <c r="Z253" s="1450"/>
      <c r="AA253" s="1450"/>
      <c r="AB253" s="1450"/>
      <c r="AC253" s="1450"/>
      <c r="AD253" s="1450"/>
      <c r="AE253" s="1450"/>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34" t="s">
        <v>2653</v>
      </c>
      <c r="N254" s="1450"/>
      <c r="O254" s="1450"/>
      <c r="P254" s="1450"/>
      <c r="Q254" s="1450"/>
      <c r="R254" s="1450"/>
      <c r="S254" s="1450"/>
      <c r="T254" s="1450"/>
      <c r="V254" s="33" t="s">
        <v>86</v>
      </c>
      <c r="W254" s="1457" t="s">
        <v>2654</v>
      </c>
      <c r="X254" s="1361"/>
      <c r="Y254" s="4" t="s">
        <v>582</v>
      </c>
      <c r="AC254" s="1450">
        <v>90064</v>
      </c>
      <c r="AD254" s="1450"/>
      <c r="AE254" s="1450"/>
      <c r="AF254" s="3" t="s">
        <v>1178</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50" t="s">
        <v>2655</v>
      </c>
      <c r="N255" s="1450"/>
      <c r="O255" s="1450"/>
      <c r="P255" s="1450"/>
      <c r="Q255" s="1450"/>
      <c r="R255" s="1450"/>
      <c r="S255" s="1450"/>
      <c r="T255" s="1450"/>
      <c r="U255" s="1450"/>
      <c r="V255" s="1450"/>
      <c r="W255" s="1450"/>
      <c r="X255" s="1450"/>
      <c r="Y255" s="1450"/>
      <c r="Z255" s="1450"/>
      <c r="AA255" s="1450"/>
      <c r="AB255" s="1450"/>
      <c r="AC255" s="1450"/>
      <c r="AD255" s="1450"/>
      <c r="AE255" s="1450"/>
      <c r="AH255" s="1464">
        <v>5.1000000000000004E-3</v>
      </c>
      <c r="AI255" s="1464"/>
      <c r="AJ255" s="1464"/>
      <c r="AK255" s="1464"/>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30" t="s">
        <v>2656</v>
      </c>
      <c r="N256" s="1430"/>
      <c r="O256" s="1430"/>
      <c r="P256" s="1430"/>
      <c r="Q256" s="1430"/>
      <c r="R256" s="1430"/>
      <c r="S256" s="4" t="s">
        <v>206</v>
      </c>
      <c r="T256" s="4"/>
      <c r="U256" s="1361">
        <v>126</v>
      </c>
      <c r="V256" s="1361"/>
      <c r="W256" s="1361"/>
      <c r="X256" s="4" t="s">
        <v>89</v>
      </c>
      <c r="Z256" s="1430" t="s">
        <v>2657</v>
      </c>
      <c r="AA256" s="1430"/>
      <c r="AB256" s="1430"/>
      <c r="AC256" s="1430"/>
      <c r="AD256" s="1430"/>
      <c r="AE256" s="1430"/>
      <c r="AU256" s="4"/>
      <c r="AV256" s="4"/>
      <c r="AW256" s="4"/>
      <c r="AX256" s="4"/>
      <c r="AY256" s="4"/>
      <c r="BG256">
        <v>0</v>
      </c>
      <c r="BH256" s="3" t="str">
        <f>""</f>
        <v/>
      </c>
      <c r="BN256" s="34"/>
    </row>
    <row r="257" spans="1:66" ht="12.95" customHeight="1">
      <c r="A257" s="19"/>
      <c r="B257" s="4"/>
      <c r="C257" s="4"/>
      <c r="D257" s="4" t="s">
        <v>90</v>
      </c>
      <c r="E257" s="4"/>
      <c r="F257" s="4"/>
      <c r="M257" s="1459" t="s">
        <v>2658</v>
      </c>
      <c r="N257" s="1459"/>
      <c r="O257" s="1459"/>
      <c r="P257" s="1459"/>
      <c r="Q257" s="1459"/>
      <c r="R257" s="1459"/>
      <c r="S257" s="1459"/>
      <c r="T257" s="1459"/>
      <c r="U257" s="1459"/>
      <c r="V257" s="1459"/>
      <c r="W257" s="1459"/>
      <c r="X257" s="1459"/>
      <c r="Y257" s="1459"/>
      <c r="Z257" s="1459"/>
      <c r="AA257" s="1459"/>
      <c r="AB257" s="1459"/>
      <c r="AC257" s="1459"/>
      <c r="AD257" s="1459"/>
      <c r="AE257" s="1459"/>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22" t="s">
        <v>535</v>
      </c>
      <c r="N258" s="1322"/>
      <c r="O258" s="1322"/>
      <c r="P258" s="1322"/>
      <c r="Q258" s="1322"/>
      <c r="R258" s="1322"/>
      <c r="S258" s="1322"/>
      <c r="T258" s="1322"/>
      <c r="U258" s="204" t="s">
        <v>904</v>
      </c>
      <c r="V258" s="204"/>
      <c r="W258" s="204"/>
      <c r="X258" s="204"/>
      <c r="Y258" s="204"/>
      <c r="Z258" s="204"/>
      <c r="AA258" s="1465" t="s">
        <v>2666</v>
      </c>
      <c r="AB258" s="1466"/>
      <c r="AC258" s="1466"/>
      <c r="AD258" s="1466"/>
      <c r="AE258" s="1466"/>
      <c r="AF258" s="1466"/>
      <c r="AG258" s="1466"/>
      <c r="AH258" s="1466"/>
      <c r="AI258" s="1466"/>
      <c r="AJ258" s="1466"/>
      <c r="AK258" s="146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497" t="s">
        <v>2662</v>
      </c>
      <c r="N260" s="1471"/>
      <c r="O260" s="1471"/>
      <c r="P260" s="1471"/>
      <c r="Q260" s="1471"/>
      <c r="R260" s="1471"/>
      <c r="S260" s="1471"/>
      <c r="T260" s="1471"/>
      <c r="U260" s="1471"/>
      <c r="V260" s="1471"/>
      <c r="W260" s="1471"/>
      <c r="X260" s="1471"/>
      <c r="Y260" s="1471"/>
      <c r="Z260" s="1471"/>
      <c r="AA260" s="1471"/>
      <c r="AB260" s="1471"/>
      <c r="AC260" s="1471"/>
      <c r="AD260" s="1471"/>
      <c r="AE260" s="1471"/>
      <c r="AF260" s="1471" t="s">
        <v>2661</v>
      </c>
      <c r="AG260" s="1471"/>
      <c r="AH260" s="1471"/>
      <c r="AI260" s="1471"/>
      <c r="AJ260" s="1471"/>
      <c r="AK260" s="1471"/>
      <c r="AU260" s="4"/>
      <c r="AV260" s="4"/>
      <c r="AW260" s="4"/>
      <c r="AX260" s="4"/>
      <c r="AY260" s="4"/>
      <c r="BN260" s="34"/>
    </row>
    <row r="261" spans="1:66" ht="12.95" customHeight="1">
      <c r="A261" s="19"/>
      <c r="B261" s="4"/>
      <c r="C261" s="4"/>
      <c r="D261" s="4" t="s">
        <v>85</v>
      </c>
      <c r="E261" s="4"/>
      <c r="F261" s="4"/>
      <c r="G261" s="4"/>
      <c r="H261" s="4"/>
      <c r="I261" s="4"/>
      <c r="J261" s="4"/>
      <c r="K261" s="4"/>
      <c r="L261" s="4"/>
      <c r="M261" s="1450" t="s">
        <v>2668</v>
      </c>
      <c r="N261" s="1450"/>
      <c r="O261" s="1450"/>
      <c r="P261" s="1450"/>
      <c r="Q261" s="1450"/>
      <c r="R261" s="1450"/>
      <c r="S261" s="1450"/>
      <c r="T261" s="1450"/>
      <c r="U261" s="1450"/>
      <c r="V261" s="1450"/>
      <c r="W261" s="1450"/>
      <c r="X261" s="1450"/>
      <c r="Y261" s="1450"/>
      <c r="Z261" s="1450"/>
      <c r="AA261" s="1450"/>
      <c r="AB261" s="1450"/>
      <c r="AC261" s="1450"/>
      <c r="AD261" s="1450"/>
      <c r="AE261" s="1450"/>
      <c r="AF261" s="3" t="s">
        <v>1177</v>
      </c>
      <c r="AL261" s="4"/>
      <c r="AM261" s="4"/>
      <c r="AN261" s="4"/>
      <c r="AO261" s="4"/>
      <c r="AP261" s="4"/>
      <c r="AQ261" s="4"/>
      <c r="AR261" s="4"/>
      <c r="AS261" s="4"/>
      <c r="AT261" s="4"/>
      <c r="BN261" s="34"/>
    </row>
    <row r="262" spans="1:66" ht="12.95" customHeight="1">
      <c r="A262" s="19"/>
      <c r="B262" s="4"/>
      <c r="C262" s="4"/>
      <c r="D262" s="4" t="s">
        <v>579</v>
      </c>
      <c r="E262" s="4"/>
      <c r="M262" s="1450" t="s">
        <v>2669</v>
      </c>
      <c r="N262" s="1450"/>
      <c r="O262" s="1450"/>
      <c r="P262" s="1450"/>
      <c r="Q262" s="1450"/>
      <c r="R262" s="1450"/>
      <c r="S262" s="1450"/>
      <c r="T262" s="1450"/>
      <c r="V262" s="33" t="s">
        <v>86</v>
      </c>
      <c r="W262" s="1457" t="s">
        <v>2654</v>
      </c>
      <c r="X262" s="1361"/>
      <c r="Y262" s="4" t="s">
        <v>582</v>
      </c>
      <c r="AC262" s="1450">
        <v>92626</v>
      </c>
      <c r="AD262" s="1450"/>
      <c r="AE262" s="1450"/>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34" t="s">
        <v>2670</v>
      </c>
      <c r="N263" s="1450"/>
      <c r="O263" s="1450"/>
      <c r="P263" s="1450"/>
      <c r="Q263" s="1450"/>
      <c r="R263" s="1450"/>
      <c r="S263" s="1450"/>
      <c r="T263" s="1450"/>
      <c r="U263" s="1450"/>
      <c r="V263" s="1450"/>
      <c r="W263" s="1450"/>
      <c r="X263" s="1450"/>
      <c r="Y263" s="1450"/>
      <c r="Z263" s="1450"/>
      <c r="AA263" s="1450"/>
      <c r="AB263" s="1450"/>
      <c r="AC263" s="1450"/>
      <c r="AD263" s="1450"/>
      <c r="AE263" s="1450"/>
      <c r="AH263" s="1464">
        <v>4.8999999999999998E-3</v>
      </c>
      <c r="AI263" s="1464"/>
      <c r="AJ263" s="1464"/>
      <c r="AK263" s="1464"/>
      <c r="AL263" s="4"/>
      <c r="AM263" s="4"/>
      <c r="AN263" s="4"/>
      <c r="AO263" s="4"/>
      <c r="AP263" s="4"/>
      <c r="AQ263" s="4"/>
      <c r="AR263" s="4"/>
      <c r="AS263" s="4"/>
      <c r="AT263" s="4"/>
    </row>
    <row r="264" spans="1:66" ht="12.95" customHeight="1">
      <c r="A264" s="19"/>
      <c r="B264" s="4"/>
      <c r="C264" s="4"/>
      <c r="D264" s="4" t="s">
        <v>88</v>
      </c>
      <c r="E264" s="4"/>
      <c r="F264" s="4"/>
      <c r="M264" s="1463" t="s">
        <v>2671</v>
      </c>
      <c r="N264" s="1430"/>
      <c r="O264" s="1430"/>
      <c r="P264" s="1430"/>
      <c r="Q264" s="1430"/>
      <c r="R264" s="1430"/>
      <c r="S264" s="4" t="s">
        <v>206</v>
      </c>
      <c r="T264" s="4"/>
      <c r="U264" s="1361"/>
      <c r="V264" s="1361"/>
      <c r="W264" s="1361"/>
      <c r="X264" s="4" t="s">
        <v>89</v>
      </c>
      <c r="Z264" s="1430"/>
      <c r="AA264" s="1430"/>
      <c r="AB264" s="1430"/>
      <c r="AC264" s="1430"/>
      <c r="AD264" s="1430"/>
      <c r="AE264" s="1430"/>
      <c r="AU264" s="4"/>
      <c r="AV264" s="4"/>
      <c r="AW264" s="4"/>
      <c r="AX264" s="4"/>
      <c r="AY264" s="4"/>
      <c r="BN264" s="34"/>
    </row>
    <row r="265" spans="1:66" ht="12.95" customHeight="1">
      <c r="A265" s="19"/>
      <c r="B265" s="4"/>
      <c r="C265" s="4"/>
      <c r="D265" s="4" t="s">
        <v>90</v>
      </c>
      <c r="E265" s="4"/>
      <c r="F265" s="4"/>
      <c r="M265" s="1459" t="s">
        <v>2672</v>
      </c>
      <c r="N265" s="1459"/>
      <c r="O265" s="1459"/>
      <c r="P265" s="1459"/>
      <c r="Q265" s="1459"/>
      <c r="R265" s="1459"/>
      <c r="S265" s="1459"/>
      <c r="T265" s="1459"/>
      <c r="U265" s="1459"/>
      <c r="V265" s="1459"/>
      <c r="W265" s="1459"/>
      <c r="X265" s="1459"/>
      <c r="Y265" s="1459"/>
      <c r="Z265" s="1459"/>
      <c r="AA265" s="1459"/>
      <c r="AB265" s="1459"/>
      <c r="AC265" s="1459"/>
      <c r="AD265" s="1459"/>
      <c r="AE265" s="145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22" t="s">
        <v>533</v>
      </c>
      <c r="N266" s="1322"/>
      <c r="O266" s="1322"/>
      <c r="P266" s="1322"/>
      <c r="Q266" s="1322"/>
      <c r="R266" s="1322"/>
      <c r="S266" s="1322"/>
      <c r="T266" s="1322"/>
      <c r="U266" s="204" t="s">
        <v>904</v>
      </c>
      <c r="V266" s="204"/>
      <c r="W266" s="204"/>
      <c r="X266" s="204"/>
      <c r="Y266" s="204"/>
      <c r="Z266" s="204"/>
      <c r="AA266" s="1465" t="s">
        <v>2664</v>
      </c>
      <c r="AB266" s="1466"/>
      <c r="AC266" s="1466"/>
      <c r="AD266" s="1466"/>
      <c r="AE266" s="1466"/>
      <c r="AF266" s="1466"/>
      <c r="AG266" s="1466"/>
      <c r="AH266" s="1466"/>
      <c r="AI266" s="1466"/>
      <c r="AJ266" s="1466"/>
      <c r="AK266" s="146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531</v>
      </c>
      <c r="E268" s="4"/>
      <c r="F268" s="4"/>
      <c r="G268" s="4"/>
      <c r="H268" s="4"/>
      <c r="I268" s="4"/>
      <c r="J268" s="4"/>
      <c r="K268" s="4"/>
      <c r="L268" s="4"/>
      <c r="M268" s="1471"/>
      <c r="N268" s="1471"/>
      <c r="O268" s="1471"/>
      <c r="P268" s="1471"/>
      <c r="Q268" s="1471"/>
      <c r="R268" s="1471"/>
      <c r="S268" s="1471"/>
      <c r="T268" s="1471"/>
      <c r="U268" s="1471"/>
      <c r="V268" s="1471"/>
      <c r="W268" s="1471"/>
      <c r="X268" s="1471"/>
      <c r="Y268" s="1471"/>
      <c r="Z268" s="1471"/>
      <c r="AA268" s="1471"/>
      <c r="AB268" s="1471"/>
      <c r="AC268" s="1471"/>
      <c r="AD268" s="1471"/>
      <c r="AE268" s="1471"/>
      <c r="AF268" s="1471" t="s">
        <v>307</v>
      </c>
      <c r="AG268" s="1471"/>
      <c r="AH268" s="1471"/>
      <c r="AI268" s="1471"/>
      <c r="AJ268" s="1471"/>
      <c r="AK268" s="147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50"/>
      <c r="N269" s="1450"/>
      <c r="O269" s="1450"/>
      <c r="P269" s="1450"/>
      <c r="Q269" s="1450"/>
      <c r="R269" s="1450"/>
      <c r="S269" s="1450"/>
      <c r="T269" s="1450"/>
      <c r="U269" s="1450"/>
      <c r="V269" s="1450"/>
      <c r="W269" s="1450"/>
      <c r="X269" s="1450"/>
      <c r="Y269" s="1450"/>
      <c r="Z269" s="1450"/>
      <c r="AA269" s="1450"/>
      <c r="AB269" s="1450"/>
      <c r="AC269" s="1450"/>
      <c r="AD269" s="1450"/>
      <c r="AE269" s="1450"/>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50"/>
      <c r="N270" s="1450"/>
      <c r="O270" s="1450"/>
      <c r="P270" s="1450"/>
      <c r="Q270" s="1450"/>
      <c r="R270" s="1450"/>
      <c r="S270" s="1450"/>
      <c r="T270" s="1450"/>
      <c r="V270" s="33" t="s">
        <v>86</v>
      </c>
      <c r="W270" s="1361"/>
      <c r="X270" s="1361"/>
      <c r="Y270" s="4" t="s">
        <v>582</v>
      </c>
      <c r="AC270" s="1450"/>
      <c r="AD270" s="1450"/>
      <c r="AE270" s="1450"/>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50"/>
      <c r="N271" s="1450"/>
      <c r="O271" s="1450"/>
      <c r="P271" s="1450"/>
      <c r="Q271" s="1450"/>
      <c r="R271" s="1450"/>
      <c r="S271" s="1450"/>
      <c r="T271" s="1450"/>
      <c r="U271" s="1450"/>
      <c r="V271" s="1450"/>
      <c r="W271" s="1450"/>
      <c r="X271" s="1450"/>
      <c r="Y271" s="1450"/>
      <c r="Z271" s="1450"/>
      <c r="AA271" s="1450"/>
      <c r="AB271" s="1450"/>
      <c r="AC271" s="1450"/>
      <c r="AD271" s="1450"/>
      <c r="AE271" s="1450"/>
      <c r="AH271" s="1464"/>
      <c r="AI271" s="1464"/>
      <c r="AJ271" s="1464"/>
      <c r="AK271" s="146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30"/>
      <c r="N272" s="1430"/>
      <c r="O272" s="1430"/>
      <c r="P272" s="1430"/>
      <c r="Q272" s="1430"/>
      <c r="R272" s="1430"/>
      <c r="S272" s="4" t="s">
        <v>206</v>
      </c>
      <c r="T272" s="4"/>
      <c r="U272" s="1361"/>
      <c r="V272" s="1361"/>
      <c r="W272" s="1361"/>
      <c r="X272" s="4" t="s">
        <v>89</v>
      </c>
      <c r="Z272" s="1430"/>
      <c r="AA272" s="1430"/>
      <c r="AB272" s="1430"/>
      <c r="AC272" s="1430"/>
      <c r="AD272" s="1430"/>
      <c r="AE272" s="1430"/>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9"/>
      <c r="N273" s="1459"/>
      <c r="O273" s="1459"/>
      <c r="P273" s="1459"/>
      <c r="Q273" s="1459"/>
      <c r="R273" s="1459"/>
      <c r="S273" s="1459"/>
      <c r="T273" s="1459"/>
      <c r="U273" s="1459"/>
      <c r="V273" s="1459"/>
      <c r="W273" s="1459"/>
      <c r="X273" s="1459"/>
      <c r="Y273" s="1459"/>
      <c r="Z273" s="1459"/>
      <c r="AA273" s="1470"/>
      <c r="AB273" s="1470"/>
      <c r="AC273" s="1470"/>
      <c r="AD273" s="1470"/>
      <c r="AE273" s="147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22" t="s">
        <v>307</v>
      </c>
      <c r="N274" s="1322"/>
      <c r="O274" s="1322"/>
      <c r="P274" s="1322"/>
      <c r="Q274" s="1322"/>
      <c r="R274" s="1322"/>
      <c r="S274" s="1322"/>
      <c r="T274" s="1322"/>
      <c r="U274" s="204" t="s">
        <v>904</v>
      </c>
      <c r="V274" s="204"/>
      <c r="W274" s="204"/>
      <c r="X274" s="204"/>
      <c r="Y274" s="204"/>
      <c r="Z274" s="204"/>
      <c r="AA274" s="1503"/>
      <c r="AB274" s="1503"/>
      <c r="AC274" s="1503"/>
      <c r="AD274" s="1503"/>
      <c r="AE274" s="1503"/>
      <c r="AF274" s="1503"/>
      <c r="AG274" s="1503"/>
      <c r="AH274" s="1503"/>
      <c r="AI274" s="1503"/>
      <c r="AJ274" s="1503"/>
      <c r="AK274" s="150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498" t="str">
        <f>IFERROR(BO254,"")</f>
        <v>Joint Venture</v>
      </c>
      <c r="U276" s="1498"/>
      <c r="V276" s="1498"/>
      <c r="W276" s="1498"/>
      <c r="X276" s="1498"/>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50" t="s">
        <v>280</v>
      </c>
      <c r="E279" s="1450"/>
      <c r="F279" s="1450"/>
      <c r="G279" s="1450"/>
      <c r="H279" s="1450"/>
      <c r="J279" t="s">
        <v>279</v>
      </c>
      <c r="X279" s="1469"/>
      <c r="Y279" s="1469"/>
      <c r="Z279" s="1469"/>
      <c r="AA279" s="1469"/>
      <c r="AB279" s="1469"/>
      <c r="AC279" s="1469"/>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7" t="s">
        <v>2666</v>
      </c>
      <c r="M283" s="1471"/>
      <c r="N283" s="1471"/>
      <c r="O283" s="1471"/>
      <c r="P283" s="1471"/>
      <c r="Q283" s="1471"/>
      <c r="R283" s="1471"/>
      <c r="S283" s="1471"/>
      <c r="T283" s="1471"/>
      <c r="U283" s="1471"/>
      <c r="V283" s="1471"/>
      <c r="W283" s="1471"/>
      <c r="X283" s="1471"/>
      <c r="Y283" s="1471"/>
      <c r="Z283" s="1471"/>
      <c r="AA283" s="1471"/>
      <c r="AB283" s="1471"/>
      <c r="AC283" s="1471"/>
      <c r="AD283" s="1471"/>
      <c r="AE283" s="1471"/>
      <c r="AF283" s="1471"/>
      <c r="AG283" s="1471"/>
      <c r="AH283" s="1471"/>
      <c r="AI283" s="1471"/>
      <c r="AJ283" s="147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50" t="s">
        <v>2652</v>
      </c>
      <c r="M284" s="1450"/>
      <c r="N284" s="1450"/>
      <c r="O284" s="1450"/>
      <c r="P284" s="1450"/>
      <c r="Q284" s="1450"/>
      <c r="R284" s="1450"/>
      <c r="S284" s="1450"/>
      <c r="T284" s="1450"/>
      <c r="U284" s="1450"/>
      <c r="V284" s="1450"/>
      <c r="W284" s="1450"/>
      <c r="X284" s="1450"/>
      <c r="Y284" s="1450"/>
      <c r="Z284" s="1450"/>
      <c r="AA284" s="1450"/>
      <c r="AB284" s="1450"/>
      <c r="AC284" s="1450"/>
      <c r="AD284" s="1450"/>
      <c r="AK284" s="3"/>
      <c r="AL284" s="3"/>
      <c r="AM284" s="3"/>
      <c r="AN284" s="3"/>
      <c r="AO284" s="3"/>
      <c r="AP284" s="3"/>
      <c r="AQ284" s="3"/>
      <c r="AR284" s="3"/>
      <c r="AS284" s="3"/>
      <c r="AT284" s="3"/>
      <c r="AU284" s="3"/>
      <c r="AV284" s="3"/>
      <c r="AW284" s="3"/>
      <c r="AX284" s="3"/>
      <c r="AY284" s="3"/>
    </row>
    <row r="285" spans="1:51" ht="12.95" customHeight="1">
      <c r="D285" s="4" t="s">
        <v>579</v>
      </c>
      <c r="E285" s="4"/>
      <c r="L285" s="1434" t="s">
        <v>493</v>
      </c>
      <c r="M285" s="1450"/>
      <c r="N285" s="1450"/>
      <c r="O285" s="1450"/>
      <c r="P285" s="1450"/>
      <c r="Q285" s="1450"/>
      <c r="R285" s="1450"/>
      <c r="S285" s="1450"/>
      <c r="U285" s="33" t="s">
        <v>86</v>
      </c>
      <c r="V285" s="1457" t="s">
        <v>2654</v>
      </c>
      <c r="W285" s="1361"/>
      <c r="X285" s="4" t="s">
        <v>582</v>
      </c>
      <c r="AB285" s="1450">
        <v>90064</v>
      </c>
      <c r="AC285" s="1450"/>
      <c r="AD285" s="145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34" t="s">
        <v>2673</v>
      </c>
      <c r="M286" s="1450"/>
      <c r="N286" s="1450"/>
      <c r="O286" s="1450"/>
      <c r="P286" s="1450"/>
      <c r="Q286" s="1450"/>
      <c r="R286" s="1450"/>
      <c r="S286" s="1450"/>
      <c r="T286" s="1450"/>
      <c r="U286" s="1450"/>
      <c r="V286" s="1450"/>
      <c r="W286" s="1450"/>
      <c r="X286" s="1450"/>
      <c r="Y286" s="1450"/>
      <c r="Z286" s="1450"/>
      <c r="AA286" s="1450"/>
      <c r="AB286" s="1450"/>
      <c r="AC286" s="1450"/>
      <c r="AD286" s="1450"/>
      <c r="AI286" s="4"/>
      <c r="AJ286" s="4"/>
      <c r="AK286" s="3"/>
      <c r="AL286" s="3"/>
      <c r="AM286" s="3"/>
      <c r="AN286" s="3"/>
      <c r="AO286" s="3"/>
      <c r="AP286" s="3"/>
      <c r="AQ286" s="3"/>
      <c r="AR286" s="3"/>
      <c r="AS286" s="3"/>
      <c r="AT286" s="3"/>
    </row>
    <row r="287" spans="1:51" ht="12.95" customHeight="1">
      <c r="D287" s="4" t="s">
        <v>88</v>
      </c>
      <c r="E287" s="4"/>
      <c r="F287" s="4"/>
      <c r="L287" s="1463" t="s">
        <v>2656</v>
      </c>
      <c r="M287" s="1430"/>
      <c r="N287" s="1430"/>
      <c r="O287" s="1430"/>
      <c r="P287" s="1430"/>
      <c r="Q287" s="1430"/>
      <c r="R287" s="4" t="s">
        <v>206</v>
      </c>
      <c r="S287" s="4"/>
      <c r="T287" s="1361">
        <v>108</v>
      </c>
      <c r="U287" s="1361"/>
      <c r="V287" s="1361"/>
      <c r="W287" s="4" t="s">
        <v>89</v>
      </c>
      <c r="Y287" s="1463" t="s">
        <v>2657</v>
      </c>
      <c r="Z287" s="1430"/>
      <c r="AA287" s="1430"/>
      <c r="AB287" s="1430"/>
      <c r="AC287" s="1430"/>
      <c r="AD287" s="1430"/>
    </row>
    <row r="288" spans="1:51" ht="12.95" customHeight="1">
      <c r="D288" s="4" t="s">
        <v>90</v>
      </c>
      <c r="E288" s="4"/>
      <c r="F288" s="4"/>
      <c r="L288" s="1459" t="s">
        <v>2674</v>
      </c>
      <c r="M288" s="1459"/>
      <c r="N288" s="1459"/>
      <c r="O288" s="1459"/>
      <c r="P288" s="1459"/>
      <c r="Q288" s="1459"/>
      <c r="R288" s="1459"/>
      <c r="S288" s="1459"/>
      <c r="T288" s="1459"/>
      <c r="U288" s="1459"/>
      <c r="V288" s="1459"/>
      <c r="W288" s="1459"/>
      <c r="X288" s="1459"/>
      <c r="Y288" s="1459"/>
      <c r="Z288" s="1459"/>
      <c r="AA288" s="1459"/>
      <c r="AB288" s="1459"/>
      <c r="AC288" s="1459"/>
      <c r="AD288" s="1459"/>
      <c r="AF288" s="4"/>
      <c r="AG288" s="4"/>
      <c r="AH288" s="4"/>
      <c r="AI288" s="4"/>
      <c r="AJ288" s="4"/>
      <c r="AU288" s="3"/>
      <c r="AV288" s="3"/>
      <c r="AW288" s="3"/>
      <c r="AX288" s="3"/>
      <c r="AY288" s="3"/>
    </row>
    <row r="289" spans="1:51" ht="12.95" customHeight="1">
      <c r="D289" s="3" t="s">
        <v>622</v>
      </c>
      <c r="E289" s="3"/>
      <c r="F289" s="3"/>
      <c r="G289" s="3"/>
      <c r="H289" s="3"/>
      <c r="I289" s="3"/>
      <c r="L289" s="1457" t="s">
        <v>2797</v>
      </c>
      <c r="M289" s="1457"/>
      <c r="N289" s="1457"/>
      <c r="O289" s="1457"/>
      <c r="P289" s="1457"/>
      <c r="Q289" s="1457"/>
      <c r="R289" s="1457"/>
      <c r="S289" s="1457"/>
      <c r="T289" s="1457"/>
      <c r="U289" s="1457"/>
      <c r="V289" s="1457"/>
      <c r="W289" s="1457"/>
      <c r="X289" s="1457"/>
      <c r="Y289" s="1457"/>
      <c r="Z289" s="1457"/>
      <c r="AA289" s="1457"/>
      <c r="AB289" s="1457"/>
      <c r="AC289" s="1457"/>
      <c r="AD289" s="1457"/>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467" t="s">
        <v>540</v>
      </c>
      <c r="B291" s="1467"/>
      <c r="C291" s="1467"/>
      <c r="D291" s="1467"/>
      <c r="E291" s="1467"/>
      <c r="F291" s="1467"/>
      <c r="G291" s="1467"/>
      <c r="H291" s="1467"/>
      <c r="I291" s="1467"/>
      <c r="J291" s="1467"/>
      <c r="K291" s="1467"/>
      <c r="L291" s="1467"/>
      <c r="M291" s="1467"/>
      <c r="N291" s="1467"/>
      <c r="O291" s="1467"/>
      <c r="P291" s="1467"/>
      <c r="Q291" s="1467"/>
      <c r="R291" s="1467"/>
      <c r="S291" s="1467"/>
      <c r="T291" s="1467"/>
      <c r="U291" s="1467"/>
      <c r="V291" s="1467"/>
      <c r="W291" s="1467"/>
      <c r="X291" s="1467"/>
      <c r="Y291" s="1467"/>
      <c r="Z291" s="1467"/>
      <c r="AA291" s="1467"/>
      <c r="AB291" s="1467"/>
      <c r="AC291" s="1467"/>
      <c r="AD291" s="1467"/>
      <c r="AE291" s="1467"/>
      <c r="AF291" s="1467"/>
      <c r="AG291" s="1467"/>
      <c r="AH291" s="1467"/>
      <c r="AI291" s="1467"/>
      <c r="AJ291" s="1467"/>
      <c r="AK291" s="1467"/>
      <c r="AL291" s="1467"/>
      <c r="AM291" s="1467"/>
      <c r="AN291" s="1467"/>
      <c r="AO291" s="1467"/>
      <c r="AP291" s="1467"/>
      <c r="AQ291" s="1467"/>
      <c r="AR291" s="1467"/>
      <c r="AS291" s="1467"/>
      <c r="AT291" s="1467"/>
      <c r="AU291" s="95"/>
      <c r="AV291" s="95"/>
      <c r="AW291" s="95"/>
      <c r="AX291" s="95"/>
      <c r="AY291" s="95"/>
    </row>
    <row r="292" spans="1:51" ht="12.95" customHeight="1">
      <c r="A292" s="1467"/>
      <c r="B292" s="1467"/>
      <c r="C292" s="1467"/>
      <c r="D292" s="1467"/>
      <c r="E292" s="1467"/>
      <c r="F292" s="1467"/>
      <c r="G292" s="1467"/>
      <c r="H292" s="1467"/>
      <c r="I292" s="1467"/>
      <c r="J292" s="1467"/>
      <c r="K292" s="1467"/>
      <c r="L292" s="1467"/>
      <c r="M292" s="1467"/>
      <c r="N292" s="1467"/>
      <c r="O292" s="1467"/>
      <c r="P292" s="1467"/>
      <c r="Q292" s="1467"/>
      <c r="R292" s="1467"/>
      <c r="S292" s="1467"/>
      <c r="T292" s="1467"/>
      <c r="U292" s="1467"/>
      <c r="V292" s="1467"/>
      <c r="W292" s="1467"/>
      <c r="X292" s="1467"/>
      <c r="Y292" s="1467"/>
      <c r="Z292" s="1467"/>
      <c r="AA292" s="1467"/>
      <c r="AB292" s="1467"/>
      <c r="AC292" s="1467"/>
      <c r="AD292" s="1467"/>
      <c r="AE292" s="1467"/>
      <c r="AF292" s="1467"/>
      <c r="AG292" s="1467"/>
      <c r="AH292" s="1467"/>
      <c r="AI292" s="1467"/>
      <c r="AJ292" s="1467"/>
      <c r="AK292" s="1467"/>
      <c r="AL292" s="1467"/>
      <c r="AM292" s="1467"/>
      <c r="AN292" s="1467"/>
      <c r="AO292" s="1467"/>
      <c r="AP292" s="1467"/>
      <c r="AQ292" s="1467"/>
      <c r="AR292" s="1467"/>
      <c r="AS292" s="1467"/>
      <c r="AT292" s="1467"/>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34" t="s">
        <v>2663</v>
      </c>
      <c r="I296" s="1380"/>
      <c r="J296" s="1380"/>
      <c r="K296" s="1380"/>
      <c r="L296" s="1380"/>
      <c r="M296" s="1380"/>
      <c r="N296" s="1380"/>
      <c r="O296" s="1380"/>
      <c r="P296" s="1380"/>
      <c r="Q296" s="1380"/>
      <c r="R296" s="1380"/>
      <c r="T296" s="3" t="s">
        <v>566</v>
      </c>
      <c r="V296" s="3"/>
      <c r="W296" s="3"/>
      <c r="X296" s="3"/>
      <c r="Y296" s="3"/>
      <c r="AA296" s="1380" t="s">
        <v>2676</v>
      </c>
      <c r="AB296" s="1380"/>
      <c r="AC296" s="1380"/>
      <c r="AD296" s="1380"/>
      <c r="AE296" s="1380"/>
      <c r="AF296" s="1380"/>
      <c r="AG296" s="1380"/>
      <c r="AH296" s="1380"/>
      <c r="AI296" s="1380"/>
      <c r="AJ296" s="1380"/>
      <c r="AK296" s="1380"/>
    </row>
    <row r="297" spans="1:51" ht="12.95" customHeight="1">
      <c r="B297" s="3" t="s">
        <v>470</v>
      </c>
      <c r="C297" s="3"/>
      <c r="D297" s="3"/>
      <c r="E297" s="3"/>
      <c r="F297" s="3"/>
      <c r="H297" s="1457" t="s">
        <v>2652</v>
      </c>
      <c r="I297" s="1322"/>
      <c r="J297" s="1322"/>
      <c r="K297" s="1322"/>
      <c r="L297" s="1322"/>
      <c r="M297" s="1322"/>
      <c r="N297" s="1322"/>
      <c r="O297" s="1322"/>
      <c r="P297" s="1322"/>
      <c r="Q297" s="1322"/>
      <c r="R297" s="1322"/>
      <c r="T297" s="3" t="s">
        <v>470</v>
      </c>
      <c r="V297" s="3"/>
      <c r="W297" s="3"/>
      <c r="X297" s="3"/>
      <c r="Y297" s="3"/>
      <c r="AA297" s="1322" t="s">
        <v>2677</v>
      </c>
      <c r="AB297" s="1322"/>
      <c r="AC297" s="1322"/>
      <c r="AD297" s="1322"/>
      <c r="AE297" s="1322"/>
      <c r="AF297" s="1322"/>
      <c r="AG297" s="1322"/>
      <c r="AH297" s="1322"/>
      <c r="AI297" s="1322"/>
      <c r="AJ297" s="1322"/>
      <c r="AK297" s="1322"/>
    </row>
    <row r="298" spans="1:51" ht="12.95" customHeight="1">
      <c r="B298" s="3" t="s">
        <v>471</v>
      </c>
      <c r="C298" s="3"/>
      <c r="D298" s="3"/>
      <c r="E298" s="3"/>
      <c r="F298" s="3"/>
      <c r="H298" s="1457" t="s">
        <v>2675</v>
      </c>
      <c r="I298" s="1322"/>
      <c r="J298" s="1322"/>
      <c r="K298" s="1322"/>
      <c r="L298" s="1322"/>
      <c r="M298" s="1322"/>
      <c r="N298" s="1322"/>
      <c r="O298" s="1322"/>
      <c r="P298" s="1322"/>
      <c r="Q298" s="1322"/>
      <c r="R298" s="1322"/>
      <c r="T298" s="3" t="s">
        <v>75</v>
      </c>
      <c r="V298" s="3"/>
      <c r="W298" s="3"/>
      <c r="X298" s="3"/>
      <c r="Y298" s="3"/>
      <c r="AA298" s="1322" t="s">
        <v>2678</v>
      </c>
      <c r="AB298" s="1322"/>
      <c r="AC298" s="1322"/>
      <c r="AD298" s="1322"/>
      <c r="AE298" s="1322"/>
      <c r="AF298" s="1322"/>
      <c r="AG298" s="1322"/>
      <c r="AH298" s="1322"/>
      <c r="AI298" s="1322"/>
      <c r="AJ298" s="1322"/>
      <c r="AK298" s="1322"/>
    </row>
    <row r="299" spans="1:51" ht="12.95" customHeight="1">
      <c r="B299" s="3" t="s">
        <v>87</v>
      </c>
      <c r="C299" s="3"/>
      <c r="D299" s="3"/>
      <c r="E299" s="3"/>
      <c r="F299" s="3"/>
      <c r="H299" s="1457" t="s">
        <v>2673</v>
      </c>
      <c r="I299" s="1322"/>
      <c r="J299" s="1322"/>
      <c r="K299" s="1322"/>
      <c r="L299" s="1322"/>
      <c r="M299" s="1322"/>
      <c r="N299" s="1322"/>
      <c r="O299" s="1322"/>
      <c r="P299" s="1322"/>
      <c r="Q299" s="1322"/>
      <c r="R299" s="1322"/>
      <c r="T299" s="3" t="s">
        <v>87</v>
      </c>
      <c r="V299" s="3"/>
      <c r="W299" s="3"/>
      <c r="X299" s="3"/>
      <c r="Y299" s="3"/>
      <c r="AA299" s="1322" t="s">
        <v>2679</v>
      </c>
      <c r="AB299" s="1322"/>
      <c r="AC299" s="1322"/>
      <c r="AD299" s="1322"/>
      <c r="AE299" s="1322"/>
      <c r="AF299" s="1322"/>
      <c r="AG299" s="1322"/>
      <c r="AH299" s="1322"/>
      <c r="AI299" s="1322"/>
      <c r="AJ299" s="1322"/>
      <c r="AK299" s="1322"/>
    </row>
    <row r="300" spans="1:51" ht="12.95" customHeight="1">
      <c r="B300" s="3" t="s">
        <v>88</v>
      </c>
      <c r="C300" s="3"/>
      <c r="D300" s="3"/>
      <c r="E300" s="3"/>
      <c r="F300" s="3"/>
      <c r="G300" s="3"/>
      <c r="H300" s="1499" t="s">
        <v>2656</v>
      </c>
      <c r="I300" s="1446"/>
      <c r="J300" s="1446"/>
      <c r="K300" s="1446"/>
      <c r="L300" s="1446"/>
      <c r="M300" s="1446"/>
      <c r="N300" s="4" t="s">
        <v>206</v>
      </c>
      <c r="O300" s="4"/>
      <c r="P300" s="1450">
        <v>108</v>
      </c>
      <c r="Q300" s="1450"/>
      <c r="R300" s="1450"/>
      <c r="S300" s="3"/>
      <c r="T300" s="3" t="s">
        <v>88</v>
      </c>
      <c r="V300" s="3"/>
      <c r="W300" s="3"/>
      <c r="X300" s="3"/>
      <c r="Y300" s="3"/>
      <c r="AA300" s="1499" t="s">
        <v>2680</v>
      </c>
      <c r="AB300" s="1446"/>
      <c r="AC300" s="1446"/>
      <c r="AD300" s="1446"/>
      <c r="AE300" s="1446"/>
      <c r="AF300" s="1446"/>
      <c r="AG300" s="4" t="s">
        <v>206</v>
      </c>
      <c r="AH300" s="4"/>
      <c r="AI300" s="1450"/>
      <c r="AJ300" s="1450"/>
      <c r="AK300" s="1450"/>
    </row>
    <row r="301" spans="1:51" ht="12.95" customHeight="1">
      <c r="B301" s="3" t="s">
        <v>89</v>
      </c>
      <c r="C301" s="3"/>
      <c r="D301" s="3"/>
      <c r="E301" s="3"/>
      <c r="F301" s="3"/>
      <c r="G301" s="3"/>
      <c r="H301" s="1463" t="s">
        <v>2657</v>
      </c>
      <c r="I301" s="1430"/>
      <c r="J301" s="1430"/>
      <c r="K301" s="1430"/>
      <c r="L301" s="1430"/>
      <c r="M301" s="1430"/>
      <c r="N301" s="4"/>
      <c r="O301" s="4"/>
      <c r="P301" s="35"/>
      <c r="Q301" s="35"/>
      <c r="R301" s="35"/>
      <c r="S301" s="3"/>
      <c r="T301" s="3" t="s">
        <v>89</v>
      </c>
      <c r="V301" s="3"/>
      <c r="W301" s="3"/>
      <c r="X301" s="3"/>
      <c r="Y301" s="3"/>
      <c r="AA301" s="1430"/>
      <c r="AB301" s="1430"/>
      <c r="AC301" s="1430"/>
      <c r="AD301" s="1430"/>
      <c r="AE301" s="1430"/>
      <c r="AF301" s="1430"/>
      <c r="AG301" s="4"/>
      <c r="AH301" s="4"/>
      <c r="AI301" s="35"/>
      <c r="AJ301" s="35"/>
      <c r="AK301" s="35"/>
    </row>
    <row r="302" spans="1:51" ht="12.95" customHeight="1">
      <c r="B302" s="3" t="s">
        <v>76</v>
      </c>
      <c r="C302" s="3"/>
      <c r="D302" s="3"/>
      <c r="E302" s="3"/>
      <c r="F302" s="3"/>
      <c r="G302" s="3"/>
      <c r="H302" s="1457" t="s">
        <v>2674</v>
      </c>
      <c r="I302" s="1322"/>
      <c r="J302" s="1322"/>
      <c r="K302" s="1322"/>
      <c r="L302" s="1322"/>
      <c r="M302" s="1322"/>
      <c r="N302" s="1380"/>
      <c r="O302" s="1380"/>
      <c r="P302" s="1380"/>
      <c r="Q302" s="1380"/>
      <c r="R302" s="1380"/>
      <c r="S302" s="3"/>
      <c r="T302" s="3" t="s">
        <v>76</v>
      </c>
      <c r="V302" s="3"/>
      <c r="W302" s="3"/>
      <c r="X302" s="3"/>
      <c r="Y302" s="3"/>
      <c r="AA302" s="1322" t="s">
        <v>2681</v>
      </c>
      <c r="AB302" s="1322"/>
      <c r="AC302" s="1322"/>
      <c r="AD302" s="1322"/>
      <c r="AE302" s="1322"/>
      <c r="AF302" s="1322"/>
      <c r="AG302" s="1380"/>
      <c r="AH302" s="1380"/>
      <c r="AI302" s="1380"/>
      <c r="AJ302" s="1380"/>
      <c r="AK302" s="138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80" t="s">
        <v>2682</v>
      </c>
      <c r="I304" s="1380"/>
      <c r="J304" s="1380"/>
      <c r="K304" s="1380"/>
      <c r="L304" s="1380"/>
      <c r="M304" s="1380"/>
      <c r="N304" s="1380"/>
      <c r="O304" s="1380"/>
      <c r="P304" s="1380"/>
      <c r="Q304" s="1380"/>
      <c r="R304" s="1380"/>
      <c r="T304" s="3" t="s">
        <v>364</v>
      </c>
      <c r="V304" s="3"/>
      <c r="W304" s="3"/>
      <c r="X304" s="3"/>
      <c r="Y304" s="3"/>
      <c r="AA304" s="1434" t="s">
        <v>2791</v>
      </c>
      <c r="AB304" s="1380"/>
      <c r="AC304" s="1380"/>
      <c r="AD304" s="1380"/>
      <c r="AE304" s="1380"/>
      <c r="AF304" s="1380"/>
      <c r="AG304" s="1380"/>
      <c r="AH304" s="1380"/>
      <c r="AI304" s="1380"/>
      <c r="AJ304" s="1380"/>
      <c r="AK304" s="1380"/>
    </row>
    <row r="305" spans="2:72" ht="12.95" customHeight="1">
      <c r="B305" s="3" t="s">
        <v>470</v>
      </c>
      <c r="C305" s="3"/>
      <c r="D305" s="3"/>
      <c r="E305" s="3"/>
      <c r="F305" s="3"/>
      <c r="H305" s="1322" t="s">
        <v>2683</v>
      </c>
      <c r="I305" s="1322"/>
      <c r="J305" s="1322"/>
      <c r="K305" s="1322"/>
      <c r="L305" s="1322"/>
      <c r="M305" s="1322"/>
      <c r="N305" s="1322"/>
      <c r="O305" s="1322"/>
      <c r="P305" s="1322"/>
      <c r="Q305" s="1322"/>
      <c r="R305" s="1322"/>
      <c r="T305" s="3" t="s">
        <v>470</v>
      </c>
      <c r="V305" s="3"/>
      <c r="W305" s="3"/>
      <c r="X305" s="3"/>
      <c r="Y305" s="3"/>
      <c r="AA305" s="1322" t="s">
        <v>2792</v>
      </c>
      <c r="AB305" s="1322"/>
      <c r="AC305" s="1322"/>
      <c r="AD305" s="1322"/>
      <c r="AE305" s="1322"/>
      <c r="AF305" s="1322"/>
      <c r="AG305" s="1322"/>
      <c r="AH305" s="1322"/>
      <c r="AI305" s="1322"/>
      <c r="AJ305" s="1322"/>
      <c r="AK305" s="132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22" t="s">
        <v>2684</v>
      </c>
      <c r="I306" s="1322"/>
      <c r="J306" s="1322"/>
      <c r="K306" s="1322"/>
      <c r="L306" s="1322"/>
      <c r="M306" s="1322"/>
      <c r="N306" s="1322"/>
      <c r="O306" s="1322"/>
      <c r="P306" s="1322"/>
      <c r="Q306" s="1322"/>
      <c r="R306" s="1322"/>
      <c r="T306" s="3" t="s">
        <v>75</v>
      </c>
      <c r="V306" s="3"/>
      <c r="W306" s="3"/>
      <c r="X306" s="3"/>
      <c r="Y306" s="3"/>
      <c r="AA306" s="1322" t="s">
        <v>2738</v>
      </c>
      <c r="AB306" s="1322"/>
      <c r="AC306" s="1322"/>
      <c r="AD306" s="1322"/>
      <c r="AE306" s="1322"/>
      <c r="AF306" s="1322"/>
      <c r="AG306" s="1322"/>
      <c r="AH306" s="1322"/>
      <c r="AI306" s="1322"/>
      <c r="AJ306" s="1322"/>
      <c r="AK306" s="132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22" t="s">
        <v>2685</v>
      </c>
      <c r="I307" s="1322"/>
      <c r="J307" s="1322"/>
      <c r="K307" s="1322"/>
      <c r="L307" s="1322"/>
      <c r="M307" s="1322"/>
      <c r="N307" s="1322"/>
      <c r="O307" s="1322"/>
      <c r="P307" s="1322"/>
      <c r="Q307" s="1322"/>
      <c r="R307" s="1322"/>
      <c r="T307" s="3" t="s">
        <v>87</v>
      </c>
      <c r="V307" s="3"/>
      <c r="W307" s="3"/>
      <c r="X307" s="3"/>
      <c r="Y307" s="3"/>
      <c r="AA307" s="1322" t="s">
        <v>2793</v>
      </c>
      <c r="AB307" s="1322"/>
      <c r="AC307" s="1322"/>
      <c r="AD307" s="1322"/>
      <c r="AE307" s="1322"/>
      <c r="AF307" s="1322"/>
      <c r="AG307" s="1322"/>
      <c r="AH307" s="1322"/>
      <c r="AI307" s="1322"/>
      <c r="AJ307" s="1322"/>
      <c r="AK307" s="1322"/>
    </row>
    <row r="308" spans="2:72" ht="12.95" customHeight="1">
      <c r="B308" s="3" t="s">
        <v>88</v>
      </c>
      <c r="C308" s="3"/>
      <c r="D308" s="3"/>
      <c r="E308" s="3"/>
      <c r="F308" s="3"/>
      <c r="G308" s="3"/>
      <c r="H308" s="1446" t="s">
        <v>2686</v>
      </c>
      <c r="I308" s="1446"/>
      <c r="J308" s="1446"/>
      <c r="K308" s="1446"/>
      <c r="L308" s="1446"/>
      <c r="M308" s="1446"/>
      <c r="N308" s="4" t="s">
        <v>206</v>
      </c>
      <c r="O308" s="4"/>
      <c r="P308" s="1450"/>
      <c r="Q308" s="1450"/>
      <c r="R308" s="1450"/>
      <c r="S308" s="3"/>
      <c r="T308" s="3" t="s">
        <v>88</v>
      </c>
      <c r="V308" s="3"/>
      <c r="W308" s="3"/>
      <c r="X308" s="3"/>
      <c r="Y308" s="3"/>
      <c r="AA308" s="1446" t="s">
        <v>2794</v>
      </c>
      <c r="AB308" s="1446"/>
      <c r="AC308" s="1446"/>
      <c r="AD308" s="1446"/>
      <c r="AE308" s="1446"/>
      <c r="AF308" s="1446"/>
      <c r="AG308" s="4" t="s">
        <v>206</v>
      </c>
      <c r="AH308" s="4"/>
      <c r="AI308" s="1450"/>
      <c r="AJ308" s="1450"/>
      <c r="AK308" s="1450"/>
    </row>
    <row r="309" spans="2:72" ht="12.95" customHeight="1">
      <c r="B309" s="3" t="s">
        <v>89</v>
      </c>
      <c r="C309" s="3"/>
      <c r="D309" s="3"/>
      <c r="E309" s="3"/>
      <c r="F309" s="3"/>
      <c r="G309" s="3"/>
      <c r="H309" s="1430" t="s">
        <v>2687</v>
      </c>
      <c r="I309" s="1430"/>
      <c r="J309" s="1430"/>
      <c r="K309" s="1430"/>
      <c r="L309" s="1430"/>
      <c r="M309" s="1430"/>
      <c r="N309" s="4"/>
      <c r="O309" s="4"/>
      <c r="P309" s="35"/>
      <c r="Q309" s="35"/>
      <c r="R309" s="35"/>
      <c r="S309" s="3"/>
      <c r="T309" s="3" t="s">
        <v>89</v>
      </c>
      <c r="V309" s="3"/>
      <c r="W309" s="3"/>
      <c r="X309" s="3"/>
      <c r="Y309" s="3"/>
      <c r="AA309" s="1430"/>
      <c r="AB309" s="1430"/>
      <c r="AC309" s="1430"/>
      <c r="AD309" s="1430"/>
      <c r="AE309" s="1430"/>
      <c r="AF309" s="1430"/>
      <c r="AG309" s="4"/>
      <c r="AH309" s="4"/>
      <c r="AI309" s="35"/>
      <c r="AJ309" s="35"/>
      <c r="AK309" s="35"/>
    </row>
    <row r="310" spans="2:72" ht="12.95" customHeight="1">
      <c r="B310" s="3" t="s">
        <v>76</v>
      </c>
      <c r="C310" s="3"/>
      <c r="D310" s="3"/>
      <c r="E310" s="3"/>
      <c r="F310" s="3"/>
      <c r="G310" s="3"/>
      <c r="H310" s="1322" t="s">
        <v>2688</v>
      </c>
      <c r="I310" s="1322"/>
      <c r="J310" s="1322"/>
      <c r="K310" s="1322"/>
      <c r="L310" s="1322"/>
      <c r="M310" s="1322"/>
      <c r="N310" s="1380"/>
      <c r="O310" s="1380"/>
      <c r="P310" s="1380"/>
      <c r="Q310" s="1380"/>
      <c r="R310" s="1380"/>
      <c r="S310" s="3"/>
      <c r="T310" s="3" t="s">
        <v>76</v>
      </c>
      <c r="V310" s="3"/>
      <c r="W310" s="3"/>
      <c r="X310" s="3"/>
      <c r="Y310" s="3"/>
      <c r="AA310" s="1322" t="s">
        <v>2795</v>
      </c>
      <c r="AB310" s="1322"/>
      <c r="AC310" s="1322"/>
      <c r="AD310" s="1322"/>
      <c r="AE310" s="1322"/>
      <c r="AF310" s="1322"/>
      <c r="AG310" s="1380"/>
      <c r="AH310" s="1380"/>
      <c r="AI310" s="1380"/>
      <c r="AJ310" s="1380"/>
      <c r="AK310" s="1380"/>
    </row>
    <row r="311" spans="2:72" ht="12.95" customHeight="1"/>
    <row r="312" spans="2:72" ht="12.95" customHeight="1">
      <c r="B312" s="3" t="s">
        <v>77</v>
      </c>
      <c r="C312" s="3"/>
      <c r="D312" s="3"/>
      <c r="E312" s="3"/>
      <c r="F312" s="3"/>
      <c r="H312" s="1380" t="s">
        <v>2689</v>
      </c>
      <c r="I312" s="1380"/>
      <c r="J312" s="1380"/>
      <c r="K312" s="1380"/>
      <c r="L312" s="1380"/>
      <c r="M312" s="1380"/>
      <c r="N312" s="1380"/>
      <c r="O312" s="1380"/>
      <c r="P312" s="1380"/>
      <c r="Q312" s="1380"/>
      <c r="R312" s="1380"/>
      <c r="T312" s="4" t="s">
        <v>876</v>
      </c>
      <c r="V312" s="3"/>
      <c r="W312" s="3"/>
      <c r="X312" s="3"/>
      <c r="Y312" s="3"/>
      <c r="AA312" s="1380"/>
      <c r="AB312" s="1380"/>
      <c r="AC312" s="1380"/>
      <c r="AD312" s="1380"/>
      <c r="AE312" s="1380"/>
      <c r="AF312" s="1380"/>
      <c r="AG312" s="1380"/>
      <c r="AH312" s="1380"/>
      <c r="AI312" s="1380"/>
      <c r="AJ312" s="1380"/>
      <c r="AK312" s="1380"/>
    </row>
    <row r="313" spans="2:72" ht="12.95" customHeight="1">
      <c r="B313" s="3" t="s">
        <v>470</v>
      </c>
      <c r="C313" s="3"/>
      <c r="D313" s="3"/>
      <c r="E313" s="3"/>
      <c r="F313" s="3"/>
      <c r="H313" s="1322" t="s">
        <v>2690</v>
      </c>
      <c r="I313" s="1322"/>
      <c r="J313" s="1322"/>
      <c r="K313" s="1322"/>
      <c r="L313" s="1322"/>
      <c r="M313" s="1322"/>
      <c r="N313" s="1322"/>
      <c r="O313" s="1322"/>
      <c r="P313" s="1322"/>
      <c r="Q313" s="1322"/>
      <c r="R313" s="1322"/>
      <c r="T313" s="3" t="s">
        <v>470</v>
      </c>
      <c r="V313" s="3"/>
      <c r="W313" s="3"/>
      <c r="X313" s="3"/>
      <c r="Y313" s="3"/>
      <c r="AA313" s="1322"/>
      <c r="AB313" s="1322"/>
      <c r="AC313" s="1322"/>
      <c r="AD313" s="1322"/>
      <c r="AE313" s="1322"/>
      <c r="AF313" s="1322"/>
      <c r="AG313" s="1322"/>
      <c r="AH313" s="1322"/>
      <c r="AI313" s="1322"/>
      <c r="AJ313" s="1322"/>
      <c r="AK313" s="1322"/>
    </row>
    <row r="314" spans="2:72" ht="12.95" customHeight="1">
      <c r="B314" s="3" t="s">
        <v>471</v>
      </c>
      <c r="C314" s="3"/>
      <c r="D314" s="3"/>
      <c r="E314" s="3"/>
      <c r="F314" s="3"/>
      <c r="H314" s="1322" t="s">
        <v>2678</v>
      </c>
      <c r="I314" s="1322"/>
      <c r="J314" s="1322"/>
      <c r="K314" s="1322"/>
      <c r="L314" s="1322"/>
      <c r="M314" s="1322"/>
      <c r="N314" s="1322"/>
      <c r="O314" s="1322"/>
      <c r="P314" s="1322"/>
      <c r="Q314" s="1322"/>
      <c r="R314" s="1322"/>
      <c r="T314" s="3" t="s">
        <v>75</v>
      </c>
      <c r="V314" s="3"/>
      <c r="W314" s="3"/>
      <c r="X314" s="3"/>
      <c r="Y314" s="3"/>
      <c r="AA314" s="1322"/>
      <c r="AB314" s="1322"/>
      <c r="AC314" s="1322"/>
      <c r="AD314" s="1322"/>
      <c r="AE314" s="1322"/>
      <c r="AF314" s="1322"/>
      <c r="AG314" s="1322"/>
      <c r="AH314" s="1322"/>
      <c r="AI314" s="1322"/>
      <c r="AJ314" s="1322"/>
      <c r="AK314" s="1322"/>
    </row>
    <row r="315" spans="2:72" ht="12.95" customHeight="1">
      <c r="B315" s="3" t="s">
        <v>87</v>
      </c>
      <c r="C315" s="3"/>
      <c r="D315" s="3"/>
      <c r="E315" s="3"/>
      <c r="F315" s="3"/>
      <c r="H315" s="1322" t="s">
        <v>2691</v>
      </c>
      <c r="I315" s="1322"/>
      <c r="J315" s="1322"/>
      <c r="K315" s="1322"/>
      <c r="L315" s="1322"/>
      <c r="M315" s="1322"/>
      <c r="N315" s="1322"/>
      <c r="O315" s="1322"/>
      <c r="P315" s="1322"/>
      <c r="Q315" s="1322"/>
      <c r="R315" s="1322"/>
      <c r="T315" s="3" t="s">
        <v>87</v>
      </c>
      <c r="V315" s="3"/>
      <c r="W315" s="3"/>
      <c r="X315" s="3"/>
      <c r="Y315" s="3"/>
      <c r="AA315" s="1322"/>
      <c r="AB315" s="1322"/>
      <c r="AC315" s="1322"/>
      <c r="AD315" s="1322"/>
      <c r="AE315" s="1322"/>
      <c r="AF315" s="1322"/>
      <c r="AG315" s="1322"/>
      <c r="AH315" s="1322"/>
      <c r="AI315" s="1322"/>
      <c r="AJ315" s="1322"/>
      <c r="AK315" s="1322"/>
    </row>
    <row r="316" spans="2:72" ht="12.95" customHeight="1">
      <c r="B316" s="3" t="s">
        <v>88</v>
      </c>
      <c r="C316" s="3"/>
      <c r="D316" s="3"/>
      <c r="E316" s="3"/>
      <c r="F316" s="3"/>
      <c r="G316" s="3"/>
      <c r="H316" s="1446" t="s">
        <v>2692</v>
      </c>
      <c r="I316" s="1446"/>
      <c r="J316" s="1446"/>
      <c r="K316" s="1446"/>
      <c r="L316" s="1446"/>
      <c r="M316" s="1446"/>
      <c r="N316" s="4" t="s">
        <v>206</v>
      </c>
      <c r="O316" s="4"/>
      <c r="P316" s="1450"/>
      <c r="Q316" s="1450"/>
      <c r="R316" s="1450"/>
      <c r="S316" s="3"/>
      <c r="T316" s="3" t="s">
        <v>88</v>
      </c>
      <c r="V316" s="3"/>
      <c r="W316" s="3"/>
      <c r="X316" s="3"/>
      <c r="Y316" s="3"/>
      <c r="AA316" s="1446"/>
      <c r="AB316" s="1446"/>
      <c r="AC316" s="1446"/>
      <c r="AD316" s="1446"/>
      <c r="AE316" s="1446"/>
      <c r="AF316" s="1446"/>
      <c r="AG316" s="4" t="s">
        <v>206</v>
      </c>
      <c r="AH316" s="4"/>
      <c r="AI316" s="1450"/>
      <c r="AJ316" s="1450"/>
      <c r="AK316" s="1450"/>
    </row>
    <row r="317" spans="2:72" ht="12.95" customHeight="1">
      <c r="B317" s="3" t="s">
        <v>89</v>
      </c>
      <c r="C317" s="3"/>
      <c r="D317" s="3"/>
      <c r="E317" s="3"/>
      <c r="F317" s="3"/>
      <c r="G317" s="3"/>
      <c r="H317" s="1430" t="s">
        <v>2693</v>
      </c>
      <c r="I317" s="1430"/>
      <c r="J317" s="1430"/>
      <c r="K317" s="1430"/>
      <c r="L317" s="1430"/>
      <c r="M317" s="1430"/>
      <c r="N317" s="4"/>
      <c r="O317" s="4"/>
      <c r="P317" s="35"/>
      <c r="Q317" s="35"/>
      <c r="R317" s="35"/>
      <c r="S317" s="3"/>
      <c r="T317" s="3" t="s">
        <v>89</v>
      </c>
      <c r="V317" s="3"/>
      <c r="W317" s="3"/>
      <c r="X317" s="3"/>
      <c r="Y317" s="3"/>
      <c r="AA317" s="1430"/>
      <c r="AB317" s="1430"/>
      <c r="AC317" s="1430"/>
      <c r="AD317" s="1430"/>
      <c r="AE317" s="1430"/>
      <c r="AF317" s="1430"/>
      <c r="AG317" s="4"/>
      <c r="AH317" s="4"/>
      <c r="AI317" s="35"/>
      <c r="AJ317" s="35"/>
      <c r="AK317" s="35"/>
    </row>
    <row r="318" spans="2:72" ht="12.95" customHeight="1">
      <c r="B318" s="3" t="s">
        <v>76</v>
      </c>
      <c r="C318" s="3"/>
      <c r="D318" s="3"/>
      <c r="E318" s="3"/>
      <c r="F318" s="3"/>
      <c r="G318" s="3"/>
      <c r="H318" s="1322" t="s">
        <v>2694</v>
      </c>
      <c r="I318" s="1322"/>
      <c r="J318" s="1322"/>
      <c r="K318" s="1322"/>
      <c r="L318" s="1322"/>
      <c r="M318" s="1322"/>
      <c r="N318" s="1380"/>
      <c r="O318" s="1380"/>
      <c r="P318" s="1380"/>
      <c r="Q318" s="1380"/>
      <c r="R318" s="1380"/>
      <c r="S318" s="3"/>
      <c r="T318" s="3" t="s">
        <v>76</v>
      </c>
      <c r="V318" s="3"/>
      <c r="W318" s="3"/>
      <c r="X318" s="3"/>
      <c r="Y318" s="3"/>
      <c r="AA318" s="1322"/>
      <c r="AB318" s="1322"/>
      <c r="AC318" s="1322"/>
      <c r="AD318" s="1322"/>
      <c r="AE318" s="1322"/>
      <c r="AF318" s="1322"/>
      <c r="AG318" s="1380"/>
      <c r="AH318" s="1380"/>
      <c r="AI318" s="1380"/>
      <c r="AJ318" s="1380"/>
      <c r="AK318" s="1380"/>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380" t="s">
        <v>2689</v>
      </c>
      <c r="I320" s="1380"/>
      <c r="J320" s="1380"/>
      <c r="K320" s="1380"/>
      <c r="L320" s="1380"/>
      <c r="M320" s="1380"/>
      <c r="N320" s="1380"/>
      <c r="O320" s="1380"/>
      <c r="P320" s="1380"/>
      <c r="Q320" s="1380"/>
      <c r="R320" s="1380"/>
      <c r="S320" s="3"/>
      <c r="T320" s="3" t="s">
        <v>365</v>
      </c>
      <c r="V320" s="3"/>
      <c r="W320" s="3"/>
      <c r="X320" s="3"/>
      <c r="Y320" s="3"/>
      <c r="AA320" s="1380" t="s">
        <v>2695</v>
      </c>
      <c r="AB320" s="1380"/>
      <c r="AC320" s="1380"/>
      <c r="AD320" s="1380"/>
      <c r="AE320" s="1380"/>
      <c r="AF320" s="1380"/>
      <c r="AG320" s="1380"/>
      <c r="AH320" s="1380"/>
      <c r="AI320" s="1380"/>
      <c r="AJ320" s="1380"/>
      <c r="AK320" s="1380"/>
    </row>
    <row r="321" spans="2:37" ht="12.95" customHeight="1">
      <c r="B321" s="3" t="s">
        <v>470</v>
      </c>
      <c r="C321" s="3"/>
      <c r="D321" s="3"/>
      <c r="E321" s="3"/>
      <c r="F321" s="3"/>
      <c r="H321" s="1322" t="s">
        <v>2690</v>
      </c>
      <c r="I321" s="1322"/>
      <c r="J321" s="1322"/>
      <c r="K321" s="1322"/>
      <c r="L321" s="1322"/>
      <c r="M321" s="1322"/>
      <c r="N321" s="1322"/>
      <c r="O321" s="1322"/>
      <c r="P321" s="1322"/>
      <c r="Q321" s="1322"/>
      <c r="R321" s="1322"/>
      <c r="S321" s="3"/>
      <c r="T321" s="3" t="s">
        <v>470</v>
      </c>
      <c r="V321" s="3"/>
      <c r="W321" s="3"/>
      <c r="X321" s="3"/>
      <c r="Y321" s="3"/>
      <c r="AA321" s="1322" t="s">
        <v>2696</v>
      </c>
      <c r="AB321" s="1322"/>
      <c r="AC321" s="1322"/>
      <c r="AD321" s="1322"/>
      <c r="AE321" s="1322"/>
      <c r="AF321" s="1322"/>
      <c r="AG321" s="1322"/>
      <c r="AH321" s="1322"/>
      <c r="AI321" s="1322"/>
      <c r="AJ321" s="1322"/>
      <c r="AK321" s="1322"/>
    </row>
    <row r="322" spans="2:37" ht="12.95" customHeight="1">
      <c r="B322" s="3" t="s">
        <v>471</v>
      </c>
      <c r="C322" s="3"/>
      <c r="D322" s="3"/>
      <c r="E322" s="3"/>
      <c r="F322" s="3"/>
      <c r="H322" s="1322" t="s">
        <v>2678</v>
      </c>
      <c r="I322" s="1322"/>
      <c r="J322" s="1322"/>
      <c r="K322" s="1322"/>
      <c r="L322" s="1322"/>
      <c r="M322" s="1322"/>
      <c r="N322" s="1322"/>
      <c r="O322" s="1322"/>
      <c r="P322" s="1322"/>
      <c r="Q322" s="1322"/>
      <c r="R322" s="1322"/>
      <c r="S322" s="3"/>
      <c r="T322" s="3" t="s">
        <v>75</v>
      </c>
      <c r="V322" s="3"/>
      <c r="W322" s="3"/>
      <c r="X322" s="3"/>
      <c r="Y322" s="3"/>
      <c r="AA322" s="1322" t="s">
        <v>2697</v>
      </c>
      <c r="AB322" s="1322"/>
      <c r="AC322" s="1322"/>
      <c r="AD322" s="1322"/>
      <c r="AE322" s="1322"/>
      <c r="AF322" s="1322"/>
      <c r="AG322" s="1322"/>
      <c r="AH322" s="1322"/>
      <c r="AI322" s="1322"/>
      <c r="AJ322" s="1322"/>
      <c r="AK322" s="1322"/>
    </row>
    <row r="323" spans="2:37" ht="12.95" customHeight="1">
      <c r="B323" s="3" t="s">
        <v>87</v>
      </c>
      <c r="C323" s="3"/>
      <c r="D323" s="3"/>
      <c r="E323" s="3"/>
      <c r="F323" s="3"/>
      <c r="H323" s="1322" t="s">
        <v>2691</v>
      </c>
      <c r="I323" s="1322"/>
      <c r="J323" s="1322"/>
      <c r="K323" s="1322"/>
      <c r="L323" s="1322"/>
      <c r="M323" s="1322"/>
      <c r="N323" s="1322"/>
      <c r="O323" s="1322"/>
      <c r="P323" s="1322"/>
      <c r="Q323" s="1322"/>
      <c r="R323" s="1322"/>
      <c r="S323" s="3"/>
      <c r="T323" s="3" t="s">
        <v>87</v>
      </c>
      <c r="V323" s="3"/>
      <c r="W323" s="3"/>
      <c r="X323" s="3"/>
      <c r="Y323" s="3"/>
      <c r="AA323" s="1322" t="s">
        <v>2698</v>
      </c>
      <c r="AB323" s="1322"/>
      <c r="AC323" s="1322"/>
      <c r="AD323" s="1322"/>
      <c r="AE323" s="1322"/>
      <c r="AF323" s="1322"/>
      <c r="AG323" s="1322"/>
      <c r="AH323" s="1322"/>
      <c r="AI323" s="1322"/>
      <c r="AJ323" s="1322"/>
      <c r="AK323" s="1322"/>
    </row>
    <row r="324" spans="2:37" ht="12.95" customHeight="1">
      <c r="B324" s="3" t="s">
        <v>88</v>
      </c>
      <c r="C324" s="3"/>
      <c r="D324" s="3"/>
      <c r="E324" s="3"/>
      <c r="F324" s="3"/>
      <c r="G324" s="3"/>
      <c r="H324" s="1446" t="s">
        <v>2692</v>
      </c>
      <c r="I324" s="1446"/>
      <c r="J324" s="1446"/>
      <c r="K324" s="1446"/>
      <c r="L324" s="1446"/>
      <c r="M324" s="1446"/>
      <c r="N324" s="4" t="s">
        <v>206</v>
      </c>
      <c r="O324" s="4"/>
      <c r="P324" s="1450"/>
      <c r="Q324" s="1450"/>
      <c r="R324" s="1450"/>
      <c r="S324" s="3"/>
      <c r="T324" s="3" t="s">
        <v>88</v>
      </c>
      <c r="V324" s="3"/>
      <c r="W324" s="3"/>
      <c r="X324" s="3"/>
      <c r="Y324" s="3"/>
      <c r="AA324" s="1446" t="s">
        <v>2699</v>
      </c>
      <c r="AB324" s="1446"/>
      <c r="AC324" s="1446"/>
      <c r="AD324" s="1446"/>
      <c r="AE324" s="1446"/>
      <c r="AF324" s="1446"/>
      <c r="AG324" s="4" t="s">
        <v>206</v>
      </c>
      <c r="AH324" s="4"/>
      <c r="AI324" s="1450"/>
      <c r="AJ324" s="1450"/>
      <c r="AK324" s="1450"/>
    </row>
    <row r="325" spans="2:37" ht="12.95" customHeight="1">
      <c r="B325" s="3" t="s">
        <v>89</v>
      </c>
      <c r="C325" s="3"/>
      <c r="D325" s="3"/>
      <c r="E325" s="3"/>
      <c r="F325" s="3"/>
      <c r="G325" s="3"/>
      <c r="H325" s="1430" t="s">
        <v>2693</v>
      </c>
      <c r="I325" s="1430"/>
      <c r="J325" s="1430"/>
      <c r="K325" s="1430"/>
      <c r="L325" s="1430"/>
      <c r="M325" s="1430"/>
      <c r="N325" s="4"/>
      <c r="O325" s="4"/>
      <c r="P325" s="35"/>
      <c r="Q325" s="35"/>
      <c r="R325" s="35"/>
      <c r="S325" s="3"/>
      <c r="T325" s="3" t="s">
        <v>89</v>
      </c>
      <c r="V325" s="3"/>
      <c r="W325" s="3"/>
      <c r="X325" s="3"/>
      <c r="Y325" s="3"/>
      <c r="AA325" s="1430" t="s">
        <v>590</v>
      </c>
      <c r="AB325" s="1430"/>
      <c r="AC325" s="1430"/>
      <c r="AD325" s="1430"/>
      <c r="AE325" s="1430"/>
      <c r="AF325" s="1430"/>
      <c r="AG325" s="4"/>
      <c r="AH325" s="4"/>
      <c r="AI325" s="35"/>
      <c r="AJ325" s="35"/>
      <c r="AK325" s="35"/>
    </row>
    <row r="326" spans="2:37" ht="12.95" customHeight="1">
      <c r="B326" s="3" t="s">
        <v>76</v>
      </c>
      <c r="C326" s="3"/>
      <c r="D326" s="3"/>
      <c r="E326" s="3"/>
      <c r="F326" s="3"/>
      <c r="G326" s="3"/>
      <c r="H326" s="1322" t="s">
        <v>2694</v>
      </c>
      <c r="I326" s="1322"/>
      <c r="J326" s="1322"/>
      <c r="K326" s="1322"/>
      <c r="L326" s="1322"/>
      <c r="M326" s="1322"/>
      <c r="N326" s="1380"/>
      <c r="O326" s="1380"/>
      <c r="P326" s="1380"/>
      <c r="Q326" s="1380"/>
      <c r="R326" s="1380"/>
      <c r="S326" s="3"/>
      <c r="T326" s="3" t="s">
        <v>76</v>
      </c>
      <c r="V326" s="3"/>
      <c r="W326" s="3"/>
      <c r="X326" s="3"/>
      <c r="Y326" s="3"/>
      <c r="AA326" s="1322" t="s">
        <v>2700</v>
      </c>
      <c r="AB326" s="1322"/>
      <c r="AC326" s="1322"/>
      <c r="AD326" s="1322"/>
      <c r="AE326" s="1322"/>
      <c r="AF326" s="1322"/>
      <c r="AG326" s="1380"/>
      <c r="AH326" s="1380"/>
      <c r="AI326" s="1380"/>
      <c r="AJ326" s="1380"/>
      <c r="AK326" s="1380"/>
    </row>
    <row r="327" spans="2:37" ht="12.95" customHeight="1"/>
    <row r="328" spans="2:37" ht="12.95" customHeight="1">
      <c r="B328" s="4" t="s">
        <v>906</v>
      </c>
      <c r="C328" s="3"/>
      <c r="D328" s="3"/>
      <c r="E328" s="3"/>
      <c r="F328" s="3"/>
      <c r="H328" s="1380"/>
      <c r="I328" s="1380"/>
      <c r="J328" s="1380"/>
      <c r="K328" s="1380"/>
      <c r="L328" s="1380"/>
      <c r="M328" s="1380"/>
      <c r="N328" s="1380"/>
      <c r="O328" s="1380"/>
      <c r="P328" s="1380"/>
      <c r="Q328" s="1380"/>
      <c r="R328" s="1380"/>
      <c r="T328" s="3" t="s">
        <v>366</v>
      </c>
      <c r="V328" s="3"/>
      <c r="W328" s="3"/>
      <c r="X328" s="3"/>
      <c r="Y328" s="3"/>
      <c r="AA328" s="1380" t="s">
        <v>2701</v>
      </c>
      <c r="AB328" s="1380"/>
      <c r="AC328" s="1380"/>
      <c r="AD328" s="1380"/>
      <c r="AE328" s="1380"/>
      <c r="AF328" s="1380"/>
      <c r="AG328" s="1380"/>
      <c r="AH328" s="1380"/>
      <c r="AI328" s="1380"/>
      <c r="AJ328" s="1380"/>
      <c r="AK328" s="1380"/>
    </row>
    <row r="329" spans="2:37" ht="12.95" customHeight="1">
      <c r="B329" s="3" t="s">
        <v>470</v>
      </c>
      <c r="C329" s="3"/>
      <c r="D329" s="3"/>
      <c r="E329" s="3"/>
      <c r="F329" s="3"/>
      <c r="H329" s="1322"/>
      <c r="I329" s="1322"/>
      <c r="J329" s="1322"/>
      <c r="K329" s="1322"/>
      <c r="L329" s="1322"/>
      <c r="M329" s="1322"/>
      <c r="N329" s="1322"/>
      <c r="O329" s="1322"/>
      <c r="P329" s="1322"/>
      <c r="Q329" s="1322"/>
      <c r="R329" s="1322"/>
      <c r="T329" s="3" t="s">
        <v>470</v>
      </c>
      <c r="V329" s="3"/>
      <c r="W329" s="3"/>
      <c r="X329" s="3"/>
      <c r="Y329" s="3"/>
      <c r="AA329" s="1322" t="s">
        <v>2702</v>
      </c>
      <c r="AB329" s="1322"/>
      <c r="AC329" s="1322"/>
      <c r="AD329" s="1322"/>
      <c r="AE329" s="1322"/>
      <c r="AF329" s="1322"/>
      <c r="AG329" s="1322"/>
      <c r="AH329" s="1322"/>
      <c r="AI329" s="1322"/>
      <c r="AJ329" s="1322"/>
      <c r="AK329" s="1322"/>
    </row>
    <row r="330" spans="2:37" ht="12.95" customHeight="1">
      <c r="B330" s="3" t="s">
        <v>471</v>
      </c>
      <c r="C330" s="3"/>
      <c r="D330" s="3"/>
      <c r="E330" s="3"/>
      <c r="F330" s="3"/>
      <c r="H330" s="1322"/>
      <c r="I330" s="1322"/>
      <c r="J330" s="1322"/>
      <c r="K330" s="1322"/>
      <c r="L330" s="1322"/>
      <c r="M330" s="1322"/>
      <c r="N330" s="1322"/>
      <c r="O330" s="1322"/>
      <c r="P330" s="1322"/>
      <c r="Q330" s="1322"/>
      <c r="R330" s="1322"/>
      <c r="T330" s="3" t="s">
        <v>75</v>
      </c>
      <c r="V330" s="3"/>
      <c r="W330" s="3"/>
      <c r="X330" s="3"/>
      <c r="Y330" s="3"/>
      <c r="AA330" s="1322" t="s">
        <v>2703</v>
      </c>
      <c r="AB330" s="1322"/>
      <c r="AC330" s="1322"/>
      <c r="AD330" s="1322"/>
      <c r="AE330" s="1322"/>
      <c r="AF330" s="1322"/>
      <c r="AG330" s="1322"/>
      <c r="AH330" s="1322"/>
      <c r="AI330" s="1322"/>
      <c r="AJ330" s="1322"/>
      <c r="AK330" s="1322"/>
    </row>
    <row r="331" spans="2:37" ht="12.95" customHeight="1">
      <c r="B331" s="3" t="s">
        <v>87</v>
      </c>
      <c r="C331" s="3"/>
      <c r="D331" s="3"/>
      <c r="E331" s="3"/>
      <c r="F331" s="3"/>
      <c r="H331" s="1322"/>
      <c r="I331" s="1322"/>
      <c r="J331" s="1322"/>
      <c r="K331" s="1322"/>
      <c r="L331" s="1322"/>
      <c r="M331" s="1322"/>
      <c r="N331" s="1322"/>
      <c r="O331" s="1322"/>
      <c r="P331" s="1322"/>
      <c r="Q331" s="1322"/>
      <c r="R331" s="1322"/>
      <c r="T331" s="3" t="s">
        <v>87</v>
      </c>
      <c r="V331" s="3"/>
      <c r="W331" s="3"/>
      <c r="X331" s="3"/>
      <c r="Y331" s="3"/>
      <c r="AA331" s="1322" t="s">
        <v>2704</v>
      </c>
      <c r="AB331" s="1322"/>
      <c r="AC331" s="1322"/>
      <c r="AD331" s="1322"/>
      <c r="AE331" s="1322"/>
      <c r="AF331" s="1322"/>
      <c r="AG331" s="1322"/>
      <c r="AH331" s="1322"/>
      <c r="AI331" s="1322"/>
      <c r="AJ331" s="1322"/>
      <c r="AK331" s="1322"/>
    </row>
    <row r="332" spans="2:37" ht="12.95" customHeight="1">
      <c r="B332" s="3" t="s">
        <v>88</v>
      </c>
      <c r="C332" s="3"/>
      <c r="D332" s="3"/>
      <c r="E332" s="3"/>
      <c r="F332" s="3"/>
      <c r="G332" s="3"/>
      <c r="H332" s="1446"/>
      <c r="I332" s="1446"/>
      <c r="J332" s="1446"/>
      <c r="K332" s="1446"/>
      <c r="L332" s="1446"/>
      <c r="M332" s="1446"/>
      <c r="N332" s="4" t="s">
        <v>206</v>
      </c>
      <c r="O332" s="4"/>
      <c r="P332" s="1450"/>
      <c r="Q332" s="1450"/>
      <c r="R332" s="1450"/>
      <c r="S332" s="3"/>
      <c r="T332" s="3" t="s">
        <v>88</v>
      </c>
      <c r="V332" s="3"/>
      <c r="W332" s="3"/>
      <c r="X332" s="3"/>
      <c r="Y332" s="3"/>
      <c r="AA332" s="1446" t="s">
        <v>2705</v>
      </c>
      <c r="AB332" s="1446"/>
      <c r="AC332" s="1446"/>
      <c r="AD332" s="1446"/>
      <c r="AE332" s="1446"/>
      <c r="AF332" s="1446"/>
      <c r="AG332" s="4" t="s">
        <v>206</v>
      </c>
      <c r="AH332" s="4"/>
      <c r="AI332" s="1450"/>
      <c r="AJ332" s="1450"/>
      <c r="AK332" s="1450"/>
    </row>
    <row r="333" spans="2:37" ht="12.95" customHeight="1">
      <c r="B333" s="3" t="s">
        <v>89</v>
      </c>
      <c r="C333" s="3"/>
      <c r="D333" s="3"/>
      <c r="E333" s="3"/>
      <c r="F333" s="3"/>
      <c r="G333" s="3"/>
      <c r="H333" s="1430"/>
      <c r="I333" s="1430"/>
      <c r="J333" s="1430"/>
      <c r="K333" s="1430"/>
      <c r="L333" s="1430"/>
      <c r="M333" s="1430"/>
      <c r="N333" s="4"/>
      <c r="O333" s="4"/>
      <c r="P333" s="35"/>
      <c r="Q333" s="35"/>
      <c r="R333" s="35"/>
      <c r="S333" s="3"/>
      <c r="T333" s="3" t="s">
        <v>89</v>
      </c>
      <c r="V333" s="3"/>
      <c r="W333" s="3"/>
      <c r="X333" s="3"/>
      <c r="Y333" s="3"/>
      <c r="AA333" s="1430" t="s">
        <v>590</v>
      </c>
      <c r="AB333" s="1430"/>
      <c r="AC333" s="1430"/>
      <c r="AD333" s="1430"/>
      <c r="AE333" s="1430"/>
      <c r="AF333" s="1430"/>
      <c r="AG333" s="4"/>
      <c r="AH333" s="4"/>
      <c r="AI333" s="35"/>
      <c r="AJ333" s="35"/>
      <c r="AK333" s="35"/>
    </row>
    <row r="334" spans="2:37" ht="12.95" customHeight="1">
      <c r="B334" s="3" t="s">
        <v>76</v>
      </c>
      <c r="C334" s="3"/>
      <c r="D334" s="3"/>
      <c r="E334" s="3"/>
      <c r="F334" s="3"/>
      <c r="G334" s="3"/>
      <c r="H334" s="1322"/>
      <c r="I334" s="1322"/>
      <c r="J334" s="1322"/>
      <c r="K334" s="1322"/>
      <c r="L334" s="1322"/>
      <c r="M334" s="1322"/>
      <c r="N334" s="1380"/>
      <c r="O334" s="1380"/>
      <c r="P334" s="1380"/>
      <c r="Q334" s="1380"/>
      <c r="R334" s="1380"/>
      <c r="S334" s="3"/>
      <c r="T334" s="3" t="s">
        <v>76</v>
      </c>
      <c r="V334" s="3"/>
      <c r="W334" s="3"/>
      <c r="X334" s="3"/>
      <c r="Y334" s="3"/>
      <c r="AA334" s="1322" t="s">
        <v>2706</v>
      </c>
      <c r="AB334" s="1322"/>
      <c r="AC334" s="1322"/>
      <c r="AD334" s="1322"/>
      <c r="AE334" s="1322"/>
      <c r="AF334" s="1322"/>
      <c r="AG334" s="1380"/>
      <c r="AH334" s="1380"/>
      <c r="AI334" s="1380"/>
      <c r="AJ334" s="1380"/>
      <c r="AK334" s="1380"/>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80"/>
      <c r="I336" s="1380"/>
      <c r="J336" s="1380"/>
      <c r="K336" s="1380"/>
      <c r="L336" s="1380"/>
      <c r="M336" s="1380"/>
      <c r="N336" s="1380"/>
      <c r="O336" s="1380"/>
      <c r="P336" s="1380"/>
      <c r="Q336" s="1380"/>
      <c r="R336" s="1380"/>
      <c r="T336" s="3" t="s">
        <v>368</v>
      </c>
      <c r="V336" s="3"/>
      <c r="W336" s="3"/>
      <c r="X336" s="3"/>
      <c r="Y336" s="3"/>
      <c r="AA336" s="1380"/>
      <c r="AB336" s="1380"/>
      <c r="AC336" s="1380"/>
      <c r="AD336" s="1380"/>
      <c r="AE336" s="1380"/>
      <c r="AF336" s="1380"/>
      <c r="AG336" s="1380"/>
      <c r="AH336" s="1380"/>
      <c r="AI336" s="1380"/>
      <c r="AJ336" s="1380"/>
      <c r="AK336" s="1380"/>
    </row>
    <row r="337" spans="2:66" ht="12.95" customHeight="1">
      <c r="B337" s="3" t="s">
        <v>470</v>
      </c>
      <c r="C337" s="3"/>
      <c r="D337" s="3"/>
      <c r="E337" s="3"/>
      <c r="F337" s="3"/>
      <c r="H337" s="1322"/>
      <c r="I337" s="1322"/>
      <c r="J337" s="1322"/>
      <c r="K337" s="1322"/>
      <c r="L337" s="1322"/>
      <c r="M337" s="1322"/>
      <c r="N337" s="1322"/>
      <c r="O337" s="1322"/>
      <c r="P337" s="1322"/>
      <c r="Q337" s="1322"/>
      <c r="R337" s="1322"/>
      <c r="T337" s="3" t="s">
        <v>470</v>
      </c>
      <c r="V337" s="3"/>
      <c r="W337" s="3"/>
      <c r="X337" s="3"/>
      <c r="Y337" s="3"/>
      <c r="AA337" s="1322"/>
      <c r="AB337" s="1322"/>
      <c r="AC337" s="1322"/>
      <c r="AD337" s="1322"/>
      <c r="AE337" s="1322"/>
      <c r="AF337" s="1322"/>
      <c r="AG337" s="1322"/>
      <c r="AH337" s="1322"/>
      <c r="AI337" s="1322"/>
      <c r="AJ337" s="1322"/>
      <c r="AK337" s="1322"/>
    </row>
    <row r="338" spans="2:66" ht="12.95" customHeight="1">
      <c r="B338" s="3" t="s">
        <v>471</v>
      </c>
      <c r="C338" s="3"/>
      <c r="D338" s="3"/>
      <c r="E338" s="3"/>
      <c r="F338" s="3"/>
      <c r="H338" s="1322"/>
      <c r="I338" s="1322"/>
      <c r="J338" s="1322"/>
      <c r="K338" s="1322"/>
      <c r="L338" s="1322"/>
      <c r="M338" s="1322"/>
      <c r="N338" s="1322"/>
      <c r="O338" s="1322"/>
      <c r="P338" s="1322"/>
      <c r="Q338" s="1322"/>
      <c r="R338" s="1322"/>
      <c r="T338" s="3" t="s">
        <v>75</v>
      </c>
      <c r="V338" s="3"/>
      <c r="W338" s="3"/>
      <c r="X338" s="3"/>
      <c r="Y338" s="3"/>
      <c r="AA338" s="1322"/>
      <c r="AB338" s="1322"/>
      <c r="AC338" s="1322"/>
      <c r="AD338" s="1322"/>
      <c r="AE338" s="1322"/>
      <c r="AF338" s="1322"/>
      <c r="AG338" s="1322"/>
      <c r="AH338" s="1322"/>
      <c r="AI338" s="1322"/>
      <c r="AJ338" s="1322"/>
      <c r="AK338" s="1322"/>
    </row>
    <row r="339" spans="2:66" ht="12.95" customHeight="1">
      <c r="B339" s="3" t="s">
        <v>87</v>
      </c>
      <c r="C339" s="3"/>
      <c r="D339" s="3"/>
      <c r="E339" s="3"/>
      <c r="F339" s="3"/>
      <c r="H339" s="1322"/>
      <c r="I339" s="1322"/>
      <c r="J339" s="1322"/>
      <c r="K339" s="1322"/>
      <c r="L339" s="1322"/>
      <c r="M339" s="1322"/>
      <c r="N339" s="1322"/>
      <c r="O339" s="1322"/>
      <c r="P339" s="1322"/>
      <c r="Q339" s="1322"/>
      <c r="R339" s="1322"/>
      <c r="T339" s="3" t="s">
        <v>87</v>
      </c>
      <c r="V339" s="3"/>
      <c r="W339" s="3"/>
      <c r="X339" s="3"/>
      <c r="Y339" s="3"/>
      <c r="AA339" s="1322"/>
      <c r="AB339" s="1322"/>
      <c r="AC339" s="1322"/>
      <c r="AD339" s="1322"/>
      <c r="AE339" s="1322"/>
      <c r="AF339" s="1322"/>
      <c r="AG339" s="1322"/>
      <c r="AH339" s="1322"/>
      <c r="AI339" s="1322"/>
      <c r="AJ339" s="1322"/>
      <c r="AK339" s="1322"/>
    </row>
    <row r="340" spans="2:66" ht="12.95" customHeight="1">
      <c r="B340" s="3" t="s">
        <v>88</v>
      </c>
      <c r="C340" s="3"/>
      <c r="D340" s="3"/>
      <c r="E340" s="3"/>
      <c r="F340" s="3"/>
      <c r="G340" s="3"/>
      <c r="H340" s="1446"/>
      <c r="I340" s="1446"/>
      <c r="J340" s="1446"/>
      <c r="K340" s="1446"/>
      <c r="L340" s="1446"/>
      <c r="M340" s="1446"/>
      <c r="N340" s="4" t="s">
        <v>206</v>
      </c>
      <c r="O340" s="4"/>
      <c r="P340" s="1450"/>
      <c r="Q340" s="1450"/>
      <c r="R340" s="1450"/>
      <c r="S340" s="3"/>
      <c r="T340" s="3" t="s">
        <v>88</v>
      </c>
      <c r="V340" s="3"/>
      <c r="W340" s="3"/>
      <c r="X340" s="3"/>
      <c r="Y340" s="3"/>
      <c r="AA340" s="1446"/>
      <c r="AB340" s="1446"/>
      <c r="AC340" s="1446"/>
      <c r="AD340" s="1446"/>
      <c r="AE340" s="1446"/>
      <c r="AF340" s="1446"/>
      <c r="AG340" s="4" t="s">
        <v>206</v>
      </c>
      <c r="AH340" s="4"/>
      <c r="AI340" s="1450"/>
      <c r="AJ340" s="1450"/>
      <c r="AK340" s="1450"/>
    </row>
    <row r="341" spans="2:66" ht="12.95" customHeight="1">
      <c r="B341" s="3" t="s">
        <v>89</v>
      </c>
      <c r="C341" s="3"/>
      <c r="D341" s="3"/>
      <c r="E341" s="3"/>
      <c r="F341" s="3"/>
      <c r="G341" s="3"/>
      <c r="H341" s="1430"/>
      <c r="I341" s="1430"/>
      <c r="J341" s="1430"/>
      <c r="K341" s="1430"/>
      <c r="L341" s="1430"/>
      <c r="M341" s="1430"/>
      <c r="N341" s="4"/>
      <c r="O341" s="4"/>
      <c r="P341" s="35"/>
      <c r="Q341" s="35"/>
      <c r="R341" s="35"/>
      <c r="S341" s="3"/>
      <c r="T341" s="3" t="s">
        <v>89</v>
      </c>
      <c r="V341" s="3"/>
      <c r="W341" s="3"/>
      <c r="X341" s="3"/>
      <c r="Y341" s="3"/>
      <c r="AA341" s="1430"/>
      <c r="AB341" s="1430"/>
      <c r="AC341" s="1430"/>
      <c r="AD341" s="1430"/>
      <c r="AE341" s="1430"/>
      <c r="AF341" s="1430"/>
      <c r="AG341" s="4"/>
      <c r="AH341" s="4"/>
      <c r="AI341" s="35"/>
      <c r="AJ341" s="35"/>
      <c r="AK341" s="35"/>
    </row>
    <row r="342" spans="2:66" ht="12.95" customHeight="1">
      <c r="B342" s="3" t="s">
        <v>76</v>
      </c>
      <c r="C342" s="3"/>
      <c r="D342" s="3"/>
      <c r="E342" s="3"/>
      <c r="F342" s="3"/>
      <c r="G342" s="3"/>
      <c r="H342" s="1322"/>
      <c r="I342" s="1322"/>
      <c r="J342" s="1322"/>
      <c r="K342" s="1322"/>
      <c r="L342" s="1322"/>
      <c r="M342" s="1322"/>
      <c r="N342" s="1380"/>
      <c r="O342" s="1380"/>
      <c r="P342" s="1380"/>
      <c r="Q342" s="1380"/>
      <c r="R342" s="1380"/>
      <c r="S342" s="3"/>
      <c r="T342" s="3" t="s">
        <v>76</v>
      </c>
      <c r="V342" s="3"/>
      <c r="W342" s="3"/>
      <c r="X342" s="3"/>
      <c r="Y342" s="3"/>
      <c r="AA342" s="1322"/>
      <c r="AB342" s="1322"/>
      <c r="AC342" s="1322"/>
      <c r="AD342" s="1322"/>
      <c r="AE342" s="1322"/>
      <c r="AF342" s="1322"/>
      <c r="AG342" s="1380"/>
      <c r="AH342" s="1380"/>
      <c r="AI342" s="1380"/>
      <c r="AJ342" s="1380"/>
      <c r="AK342" s="1380"/>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80" t="s">
        <v>2713</v>
      </c>
      <c r="I344" s="1380"/>
      <c r="J344" s="1380"/>
      <c r="K344" s="1380"/>
      <c r="L344" s="1380"/>
      <c r="M344" s="1380"/>
      <c r="N344" s="1380"/>
      <c r="O344" s="1380"/>
      <c r="P344" s="1380"/>
      <c r="Q344" s="1380"/>
      <c r="R344" s="1380"/>
      <c r="T344" s="204" t="s">
        <v>884</v>
      </c>
      <c r="V344" s="3"/>
      <c r="W344" s="3"/>
      <c r="X344" s="3"/>
      <c r="Y344" s="3"/>
      <c r="AA344" s="1434" t="s">
        <v>2665</v>
      </c>
      <c r="AB344" s="1380"/>
      <c r="AC344" s="1380"/>
      <c r="AD344" s="1380"/>
      <c r="AE344" s="1380"/>
      <c r="AF344" s="1380"/>
      <c r="AG344" s="1380"/>
      <c r="AH344" s="1380"/>
      <c r="AI344" s="1380"/>
      <c r="AJ344" s="1380"/>
      <c r="AK344" s="1380"/>
    </row>
    <row r="345" spans="2:66" ht="12.95" customHeight="1">
      <c r="B345" s="3" t="s">
        <v>470</v>
      </c>
      <c r="C345" s="3"/>
      <c r="D345" s="3"/>
      <c r="E345" s="3"/>
      <c r="F345" s="3"/>
      <c r="H345" s="1322" t="s">
        <v>2714</v>
      </c>
      <c r="I345" s="1322"/>
      <c r="J345" s="1322"/>
      <c r="K345" s="1322"/>
      <c r="L345" s="1322"/>
      <c r="M345" s="1322"/>
      <c r="N345" s="1322"/>
      <c r="O345" s="1322"/>
      <c r="P345" s="1322"/>
      <c r="Q345" s="1322"/>
      <c r="R345" s="1322"/>
      <c r="T345" s="3" t="s">
        <v>470</v>
      </c>
      <c r="V345" s="3"/>
      <c r="W345" s="3"/>
      <c r="X345" s="3"/>
      <c r="Y345" s="3"/>
      <c r="AA345" s="1322" t="s">
        <v>2707</v>
      </c>
      <c r="AB345" s="1322"/>
      <c r="AC345" s="1322"/>
      <c r="AD345" s="1322"/>
      <c r="AE345" s="1322"/>
      <c r="AF345" s="1322"/>
      <c r="AG345" s="1322"/>
      <c r="AH345" s="1322"/>
      <c r="AI345" s="1322"/>
      <c r="AJ345" s="1322"/>
      <c r="AK345" s="1322"/>
    </row>
    <row r="346" spans="2:66" ht="12.95" customHeight="1">
      <c r="B346" s="3" t="s">
        <v>75</v>
      </c>
      <c r="C346" s="3"/>
      <c r="D346" s="3"/>
      <c r="E346" s="3"/>
      <c r="F346" s="3"/>
      <c r="H346" s="1322" t="s">
        <v>2715</v>
      </c>
      <c r="I346" s="1322"/>
      <c r="J346" s="1322"/>
      <c r="K346" s="1322"/>
      <c r="L346" s="1322"/>
      <c r="M346" s="1322"/>
      <c r="N346" s="1322"/>
      <c r="O346" s="1322"/>
      <c r="P346" s="1322"/>
      <c r="Q346" s="1322"/>
      <c r="R346" s="1322"/>
      <c r="T346" s="3" t="s">
        <v>75</v>
      </c>
      <c r="V346" s="3"/>
      <c r="W346" s="3"/>
      <c r="X346" s="3"/>
      <c r="Y346" s="3"/>
      <c r="AA346" s="1322" t="s">
        <v>2708</v>
      </c>
      <c r="AB346" s="1322"/>
      <c r="AC346" s="1322"/>
      <c r="AD346" s="1322"/>
      <c r="AE346" s="1322"/>
      <c r="AF346" s="1322"/>
      <c r="AG346" s="1322"/>
      <c r="AH346" s="1322"/>
      <c r="AI346" s="1322"/>
      <c r="AJ346" s="1322"/>
      <c r="AK346" s="1322"/>
    </row>
    <row r="347" spans="2:66" ht="12.95" customHeight="1">
      <c r="B347" s="3" t="s">
        <v>87</v>
      </c>
      <c r="C347" s="3"/>
      <c r="D347" s="3"/>
      <c r="E347" s="3"/>
      <c r="F347" s="3"/>
      <c r="G347" s="3"/>
      <c r="H347" s="1322" t="s">
        <v>2716</v>
      </c>
      <c r="I347" s="1322"/>
      <c r="J347" s="1322"/>
      <c r="K347" s="1322"/>
      <c r="L347" s="1322"/>
      <c r="M347" s="1322"/>
      <c r="N347" s="1322"/>
      <c r="O347" s="1322"/>
      <c r="P347" s="1322"/>
      <c r="Q347" s="1322"/>
      <c r="R347" s="1322"/>
      <c r="T347" s="3" t="s">
        <v>87</v>
      </c>
      <c r="V347" s="3"/>
      <c r="W347" s="3"/>
      <c r="X347" s="3"/>
      <c r="Y347" s="3"/>
      <c r="AA347" s="1322" t="s">
        <v>2709</v>
      </c>
      <c r="AB347" s="1322"/>
      <c r="AC347" s="1322"/>
      <c r="AD347" s="1322"/>
      <c r="AE347" s="1322"/>
      <c r="AF347" s="1322"/>
      <c r="AG347" s="1322"/>
      <c r="AH347" s="1322"/>
      <c r="AI347" s="1322"/>
      <c r="AJ347" s="1322"/>
      <c r="AK347" s="1322"/>
    </row>
    <row r="348" spans="2:66" ht="12.95" customHeight="1">
      <c r="B348" s="3" t="s">
        <v>88</v>
      </c>
      <c r="C348" s="3"/>
      <c r="D348" s="3"/>
      <c r="E348" s="3"/>
      <c r="F348" s="3"/>
      <c r="G348" s="3"/>
      <c r="H348" s="1446" t="s">
        <v>2717</v>
      </c>
      <c r="I348" s="1446"/>
      <c r="J348" s="1446"/>
      <c r="K348" s="1446"/>
      <c r="L348" s="1446"/>
      <c r="M348" s="1446"/>
      <c r="N348" s="4" t="s">
        <v>206</v>
      </c>
      <c r="O348" s="4"/>
      <c r="P348" s="1450"/>
      <c r="Q348" s="1450"/>
      <c r="R348" s="1450"/>
      <c r="S348" s="3"/>
      <c r="T348" s="3" t="s">
        <v>88</v>
      </c>
      <c r="V348" s="3"/>
      <c r="W348" s="3"/>
      <c r="X348" s="3"/>
      <c r="Y348" s="3"/>
      <c r="AA348" s="1446" t="s">
        <v>2710</v>
      </c>
      <c r="AB348" s="1446"/>
      <c r="AC348" s="1446"/>
      <c r="AD348" s="1446"/>
      <c r="AE348" s="1446"/>
      <c r="AF348" s="1446"/>
      <c r="AG348" s="4" t="s">
        <v>206</v>
      </c>
      <c r="AH348" s="4"/>
      <c r="AI348" s="1450"/>
      <c r="AJ348" s="1450"/>
      <c r="AK348" s="1450"/>
    </row>
    <row r="349" spans="2:66" ht="12.95" customHeight="1">
      <c r="B349" s="3" t="s">
        <v>89</v>
      </c>
      <c r="C349" s="3"/>
      <c r="D349" s="3"/>
      <c r="E349" s="3"/>
      <c r="F349" s="3"/>
      <c r="G349" s="3"/>
      <c r="H349" s="1430" t="s">
        <v>2718</v>
      </c>
      <c r="I349" s="1430"/>
      <c r="J349" s="1430"/>
      <c r="K349" s="1430"/>
      <c r="L349" s="1430"/>
      <c r="M349" s="1430"/>
      <c r="N349" s="4"/>
      <c r="O349" s="4"/>
      <c r="P349" s="35"/>
      <c r="Q349" s="35"/>
      <c r="R349" s="35"/>
      <c r="S349" s="3"/>
      <c r="T349" s="3" t="s">
        <v>89</v>
      </c>
      <c r="V349" s="3"/>
      <c r="W349" s="3"/>
      <c r="X349" s="3"/>
      <c r="Y349" s="3"/>
      <c r="AA349" s="1430" t="s">
        <v>2711</v>
      </c>
      <c r="AB349" s="1430"/>
      <c r="AC349" s="1430"/>
      <c r="AD349" s="1430"/>
      <c r="AE349" s="1430"/>
      <c r="AF349" s="1430"/>
      <c r="AG349" s="4"/>
      <c r="AH349" s="4"/>
      <c r="AI349" s="35"/>
      <c r="AJ349" s="35"/>
      <c r="AK349" s="35"/>
    </row>
    <row r="350" spans="2:66" ht="12.95" customHeight="1">
      <c r="B350" s="3" t="s">
        <v>76</v>
      </c>
      <c r="C350" s="3"/>
      <c r="D350" s="3"/>
      <c r="E350" s="3"/>
      <c r="F350" s="3"/>
      <c r="G350" s="3"/>
      <c r="H350" s="1322" t="s">
        <v>2719</v>
      </c>
      <c r="I350" s="1322"/>
      <c r="J350" s="1322"/>
      <c r="K350" s="1322"/>
      <c r="L350" s="1322"/>
      <c r="M350" s="1322"/>
      <c r="N350" s="1380"/>
      <c r="O350" s="1380"/>
      <c r="P350" s="1380"/>
      <c r="Q350" s="1380"/>
      <c r="R350" s="1380"/>
      <c r="S350" s="3"/>
      <c r="T350" s="3" t="s">
        <v>76</v>
      </c>
      <c r="V350" s="3"/>
      <c r="W350" s="3"/>
      <c r="X350" s="3"/>
      <c r="Y350" s="3"/>
      <c r="AA350" s="1322" t="s">
        <v>2712</v>
      </c>
      <c r="AB350" s="1322"/>
      <c r="AC350" s="1322"/>
      <c r="AD350" s="1322"/>
      <c r="AE350" s="1322"/>
      <c r="AF350" s="1322"/>
      <c r="AG350" s="1380"/>
      <c r="AH350" s="1380"/>
      <c r="AI350" s="1380"/>
      <c r="AJ350" s="1380"/>
      <c r="AK350" s="1380"/>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885</v>
      </c>
      <c r="P352" s="1380"/>
      <c r="Q352" s="1380"/>
      <c r="R352" s="1380"/>
      <c r="S352" s="1380"/>
      <c r="T352" s="1380"/>
      <c r="U352" s="1380"/>
      <c r="V352" s="1380"/>
      <c r="W352" s="1380"/>
      <c r="X352" s="1380"/>
      <c r="Y352" s="1380"/>
      <c r="Z352" s="1380"/>
      <c r="AA352" s="1380"/>
      <c r="AB352" s="1380"/>
      <c r="AC352" s="1380"/>
      <c r="AD352" s="1380"/>
      <c r="AE352" s="1380"/>
      <c r="BN352" t="s">
        <v>668</v>
      </c>
    </row>
    <row r="353" spans="1:66" ht="12.95" customHeight="1">
      <c r="B353" s="4"/>
      <c r="C353" s="4"/>
      <c r="D353" s="4"/>
      <c r="E353" s="4"/>
      <c r="F353" s="4"/>
      <c r="I353" s="4" t="s">
        <v>470</v>
      </c>
      <c r="P353" s="1322"/>
      <c r="Q353" s="1322"/>
      <c r="R353" s="1322"/>
      <c r="S353" s="1322"/>
      <c r="T353" s="1322"/>
      <c r="U353" s="1322"/>
      <c r="V353" s="1322"/>
      <c r="W353" s="1322"/>
      <c r="X353" s="1322"/>
      <c r="Y353" s="1322"/>
      <c r="Z353" s="1322"/>
      <c r="AA353" s="1322"/>
      <c r="AB353" s="1322"/>
      <c r="AC353" s="1322"/>
      <c r="AD353" s="1322"/>
      <c r="AE353" s="1322"/>
      <c r="BN353" t="s">
        <v>544</v>
      </c>
    </row>
    <row r="354" spans="1:66" ht="12.95" customHeight="1">
      <c r="B354" s="4"/>
      <c r="C354" s="4"/>
      <c r="D354" s="4"/>
      <c r="E354" s="4"/>
      <c r="F354" s="4"/>
      <c r="I354" s="4" t="s">
        <v>75</v>
      </c>
      <c r="P354" s="1322"/>
      <c r="Q354" s="1322"/>
      <c r="R354" s="1322"/>
      <c r="S354" s="1322"/>
      <c r="T354" s="1322"/>
      <c r="U354" s="1322"/>
      <c r="V354" s="1322"/>
      <c r="W354" s="1322"/>
      <c r="X354" s="1322"/>
      <c r="Y354" s="1322"/>
      <c r="Z354" s="1322"/>
      <c r="AA354" s="1322"/>
      <c r="AB354" s="1322"/>
      <c r="AC354" s="1322"/>
      <c r="AD354" s="1322"/>
      <c r="AE354" s="1322"/>
    </row>
    <row r="355" spans="1:66" ht="12.95" customHeight="1">
      <c r="B355" s="4"/>
      <c r="C355" s="4"/>
      <c r="D355" s="4"/>
      <c r="E355" s="4"/>
      <c r="F355" s="4"/>
      <c r="G355" s="4"/>
      <c r="I355" s="4" t="s">
        <v>87</v>
      </c>
      <c r="P355" s="1322"/>
      <c r="Q355" s="1322"/>
      <c r="R355" s="1322"/>
      <c r="S355" s="1322"/>
      <c r="T355" s="1322"/>
      <c r="U355" s="1322"/>
      <c r="V355" s="1322"/>
      <c r="W355" s="1322"/>
      <c r="X355" s="1322"/>
      <c r="Y355" s="1322"/>
      <c r="Z355" s="1322"/>
      <c r="AA355" s="1322"/>
      <c r="AB355" s="1322"/>
      <c r="AC355" s="1322"/>
      <c r="AD355" s="1322"/>
      <c r="AE355" s="1322"/>
    </row>
    <row r="356" spans="1:66" ht="12.95" customHeight="1">
      <c r="B356" s="4"/>
      <c r="C356" s="4"/>
      <c r="D356" s="4"/>
      <c r="E356" s="4"/>
      <c r="F356" s="4"/>
      <c r="G356" s="4"/>
      <c r="H356" s="302"/>
      <c r="I356" s="4" t="s">
        <v>88</v>
      </c>
      <c r="P356" s="1430"/>
      <c r="Q356" s="1430"/>
      <c r="R356" s="1430"/>
      <c r="S356" s="1430"/>
      <c r="T356" s="1430"/>
      <c r="U356" s="1430"/>
      <c r="V356" s="1430"/>
      <c r="W356" s="1430"/>
      <c r="X356" s="1430"/>
      <c r="Y356" s="1430"/>
      <c r="Z356" s="1430"/>
      <c r="AA356" s="4" t="s">
        <v>206</v>
      </c>
      <c r="AB356" s="4"/>
      <c r="AC356" s="1361"/>
      <c r="AD356" s="1361"/>
      <c r="AE356" s="1361"/>
      <c r="AF356" s="302"/>
      <c r="AG356" s="4"/>
      <c r="AH356" s="4"/>
      <c r="AI356" s="4"/>
      <c r="AJ356" s="4"/>
      <c r="AK356" s="4"/>
    </row>
    <row r="357" spans="1:66" ht="12.95" customHeight="1">
      <c r="B357" s="4"/>
      <c r="C357" s="4"/>
      <c r="D357" s="4"/>
      <c r="E357" s="4"/>
      <c r="F357" s="4"/>
      <c r="G357" s="4"/>
      <c r="H357" s="302"/>
      <c r="I357" s="4" t="s">
        <v>89</v>
      </c>
      <c r="P357" s="1430"/>
      <c r="Q357" s="1430"/>
      <c r="R357" s="1430"/>
      <c r="S357" s="1430"/>
      <c r="T357" s="1430"/>
      <c r="U357" s="1430"/>
      <c r="V357" s="1430"/>
      <c r="W357" s="1430"/>
      <c r="X357" s="1430"/>
      <c r="Y357" s="1430"/>
      <c r="Z357" s="1430"/>
      <c r="AF357" s="302"/>
      <c r="AG357" s="4"/>
      <c r="AH357" s="4"/>
      <c r="AI357" s="35"/>
      <c r="AJ357" s="35"/>
      <c r="AK357" s="35"/>
    </row>
    <row r="358" spans="1:66" ht="12.95" customHeight="1">
      <c r="B358" s="4"/>
      <c r="C358" s="4"/>
      <c r="D358" s="4"/>
      <c r="E358" s="4"/>
      <c r="F358" s="4"/>
      <c r="G358" s="4"/>
      <c r="I358" s="4" t="s">
        <v>76</v>
      </c>
      <c r="P358" s="1380"/>
      <c r="Q358" s="1380"/>
      <c r="R358" s="1380"/>
      <c r="S358" s="1380"/>
      <c r="T358" s="1380"/>
      <c r="U358" s="1380"/>
      <c r="V358" s="1380"/>
      <c r="W358" s="1380"/>
      <c r="X358" s="1380"/>
      <c r="Y358" s="1380"/>
      <c r="Z358" s="1380"/>
      <c r="AA358" s="1380"/>
      <c r="AB358" s="1380"/>
      <c r="AC358" s="1380"/>
      <c r="AD358" s="1380"/>
      <c r="AE358" s="1380"/>
    </row>
    <row r="359" spans="1:66" ht="12.95" customHeight="1">
      <c r="T359" s="8"/>
      <c r="U359" s="8"/>
      <c r="V359" s="8"/>
      <c r="W359" s="8"/>
      <c r="X359" s="8"/>
      <c r="Y359" s="8"/>
      <c r="Z359" s="8"/>
      <c r="AU359" s="95"/>
      <c r="AV359" s="95"/>
      <c r="AW359" s="95"/>
      <c r="AX359" s="95"/>
      <c r="AY359" s="95"/>
    </row>
    <row r="360" spans="1:66" ht="12.95" customHeight="1">
      <c r="A360" s="1467" t="s">
        <v>541</v>
      </c>
      <c r="B360" s="1467"/>
      <c r="C360" s="1467"/>
      <c r="D360" s="1467"/>
      <c r="E360" s="1467"/>
      <c r="F360" s="1467"/>
      <c r="G360" s="1467"/>
      <c r="H360" s="1467"/>
      <c r="I360" s="1467"/>
      <c r="J360" s="1467"/>
      <c r="K360" s="1467"/>
      <c r="L360" s="1467"/>
      <c r="M360" s="1467"/>
      <c r="N360" s="1467"/>
      <c r="O360" s="1467"/>
      <c r="P360" s="1467"/>
      <c r="Q360" s="1467"/>
      <c r="R360" s="1467"/>
      <c r="S360" s="1467"/>
      <c r="T360" s="1467"/>
      <c r="U360" s="1467"/>
      <c r="V360" s="1467"/>
      <c r="W360" s="1467"/>
      <c r="X360" s="1467"/>
      <c r="Y360" s="1467"/>
      <c r="Z360" s="1467"/>
      <c r="AA360" s="1467"/>
      <c r="AB360" s="1467"/>
      <c r="AC360" s="1467"/>
      <c r="AD360" s="1467"/>
      <c r="AE360" s="1467"/>
      <c r="AF360" s="1467"/>
      <c r="AG360" s="1467"/>
      <c r="AH360" s="1467"/>
      <c r="AI360" s="1467"/>
      <c r="AJ360" s="1467"/>
      <c r="AK360" s="1467"/>
      <c r="AL360" s="1467"/>
      <c r="AM360" s="1467"/>
      <c r="AN360" s="1467"/>
      <c r="AO360" s="1467"/>
      <c r="AP360" s="1467"/>
      <c r="AQ360" s="1467"/>
      <c r="AR360" s="1467"/>
      <c r="AS360" s="1467"/>
      <c r="AT360" s="1467"/>
      <c r="AU360" s="95"/>
      <c r="AV360" s="95"/>
      <c r="AW360" s="95"/>
      <c r="AX360" s="95"/>
      <c r="AY360" s="95"/>
    </row>
    <row r="361" spans="1:66" ht="12.95" customHeight="1">
      <c r="A361" s="1467"/>
      <c r="B361" s="1467"/>
      <c r="C361" s="1467"/>
      <c r="D361" s="1467"/>
      <c r="E361" s="1467"/>
      <c r="F361" s="1467"/>
      <c r="G361" s="1467"/>
      <c r="H361" s="1467"/>
      <c r="I361" s="1467"/>
      <c r="J361" s="1467"/>
      <c r="K361" s="1467"/>
      <c r="L361" s="1467"/>
      <c r="M361" s="1467"/>
      <c r="N361" s="1467"/>
      <c r="O361" s="1467"/>
      <c r="P361" s="1467"/>
      <c r="Q361" s="1467"/>
      <c r="R361" s="1467"/>
      <c r="S361" s="1467"/>
      <c r="T361" s="1467"/>
      <c r="U361" s="1467"/>
      <c r="V361" s="1467"/>
      <c r="W361" s="1467"/>
      <c r="X361" s="1467"/>
      <c r="Y361" s="1467"/>
      <c r="Z361" s="1467"/>
      <c r="AA361" s="1467"/>
      <c r="AB361" s="1467"/>
      <c r="AC361" s="1467"/>
      <c r="AD361" s="1467"/>
      <c r="AE361" s="1467"/>
      <c r="AF361" s="1467"/>
      <c r="AG361" s="1467"/>
      <c r="AH361" s="1467"/>
      <c r="AI361" s="1467"/>
      <c r="AJ361" s="1467"/>
      <c r="AK361" s="1467"/>
      <c r="AL361" s="1467"/>
      <c r="AM361" s="1467"/>
      <c r="AN361" s="1467"/>
      <c r="AO361" s="1467"/>
      <c r="AP361" s="1467"/>
      <c r="AQ361" s="1467"/>
      <c r="AR361" s="1467"/>
      <c r="AS361" s="1467"/>
      <c r="AT361" s="1467"/>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2051</v>
      </c>
      <c r="M364" s="1399" t="s">
        <v>544</v>
      </c>
      <c r="N364" s="1399"/>
      <c r="P364" t="s">
        <v>1637</v>
      </c>
      <c r="AJ364" s="1399" t="s">
        <v>544</v>
      </c>
      <c r="AK364" s="1399"/>
    </row>
    <row r="365" spans="1:66" ht="12.95" customHeight="1">
      <c r="D365" s="3" t="s">
        <v>1626</v>
      </c>
      <c r="M365" s="1399" t="s">
        <v>590</v>
      </c>
      <c r="N365" s="1399"/>
      <c r="P365" s="3" t="s">
        <v>1706</v>
      </c>
      <c r="AJ365" s="1329">
        <v>0</v>
      </c>
      <c r="AK365" s="1329"/>
    </row>
    <row r="366" spans="1:66" ht="12.95" customHeight="1">
      <c r="D366" s="3" t="s">
        <v>703</v>
      </c>
      <c r="M366" s="1399" t="s">
        <v>590</v>
      </c>
      <c r="N366" s="1399"/>
      <c r="P366" t="s">
        <v>1636</v>
      </c>
      <c r="AJ366" s="1399" t="s">
        <v>590</v>
      </c>
      <c r="AK366" s="1399"/>
    </row>
    <row r="367" spans="1:66" ht="12.95" customHeight="1">
      <c r="D367" s="3" t="s">
        <v>704</v>
      </c>
      <c r="M367" s="1399" t="s">
        <v>590</v>
      </c>
      <c r="N367" s="139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9" t="s">
        <v>590</v>
      </c>
      <c r="O372" s="1399"/>
      <c r="P372" s="40"/>
      <c r="Q372" s="40"/>
      <c r="R372" s="40"/>
      <c r="S372" s="40"/>
      <c r="T372" s="40"/>
      <c r="U372" s="40"/>
      <c r="V372" s="40"/>
      <c r="W372" s="40"/>
      <c r="X372" s="40"/>
      <c r="Y372" s="40"/>
      <c r="Z372" s="40"/>
      <c r="AC372" s="40"/>
      <c r="AD372" s="40"/>
      <c r="AE372" s="40"/>
    </row>
    <row r="373" spans="1:34" ht="12.95" customHeight="1">
      <c r="E373" t="s">
        <v>370</v>
      </c>
      <c r="Y373" s="1399" t="s">
        <v>590</v>
      </c>
      <c r="Z373" s="1399"/>
    </row>
    <row r="374" spans="1:34" ht="12.95" customHeight="1">
      <c r="D374" s="4" t="s">
        <v>976</v>
      </c>
      <c r="Q374" s="1380"/>
      <c r="R374" s="1380"/>
      <c r="S374" s="1380"/>
      <c r="T374" s="1380"/>
      <c r="U374" s="1380"/>
      <c r="V374" s="1380"/>
      <c r="W374" s="1380"/>
      <c r="X374" s="1380"/>
      <c r="Y374" s="1380"/>
      <c r="Z374" s="1380"/>
      <c r="AA374" s="1380"/>
      <c r="AB374" s="1380"/>
      <c r="AC374" s="1380"/>
      <c r="AD374" s="1380"/>
      <c r="AE374" s="1380"/>
      <c r="AF374" s="1380"/>
      <c r="AG374" s="1380"/>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9" t="s">
        <v>590</v>
      </c>
      <c r="K376" s="1399"/>
      <c r="L376" s="40"/>
      <c r="M376" s="40"/>
      <c r="N376" s="40"/>
      <c r="O376" s="40"/>
      <c r="P376" s="40"/>
      <c r="Q376" s="40"/>
      <c r="R376" s="40"/>
      <c r="S376" s="40"/>
      <c r="T376" s="40"/>
      <c r="U376" s="40"/>
      <c r="V376" s="40"/>
      <c r="W376" s="40"/>
      <c r="X376" s="40"/>
      <c r="Y376" s="40"/>
      <c r="Z376" s="40"/>
      <c r="AC376" s="40"/>
      <c r="AD376" s="40"/>
      <c r="AE376" s="40"/>
    </row>
    <row r="377" spans="1:34" ht="12.95" customHeight="1">
      <c r="E377" s="1451" t="s">
        <v>705</v>
      </c>
      <c r="F377" s="1451"/>
      <c r="G377" s="1451"/>
      <c r="H377" s="1451"/>
      <c r="I377" s="1451"/>
      <c r="J377" s="1451"/>
      <c r="K377" s="1451"/>
      <c r="L377" s="1451"/>
      <c r="M377" s="1451"/>
      <c r="N377" s="1451"/>
      <c r="O377" s="1451"/>
      <c r="P377" s="1451"/>
      <c r="Q377" s="1451"/>
      <c r="R377" s="1451"/>
      <c r="S377" s="1451"/>
      <c r="T377" s="1451"/>
      <c r="U377" s="1451"/>
      <c r="V377" s="1451"/>
      <c r="W377" s="1451"/>
      <c r="X377" s="1451"/>
      <c r="Y377" s="1451"/>
      <c r="Z377" s="1451"/>
      <c r="AA377" s="1451"/>
      <c r="AB377" s="1451"/>
      <c r="AC377" s="1451"/>
      <c r="AD377" s="1451"/>
      <c r="AE377" s="1451"/>
      <c r="AF377" s="1451"/>
      <c r="AG377" s="1451"/>
      <c r="AH377" s="1451"/>
    </row>
    <row r="378" spans="1:34" ht="12.95" customHeight="1">
      <c r="E378" s="1451"/>
      <c r="F378" s="1451"/>
      <c r="G378" s="1451"/>
      <c r="H378" s="1451"/>
      <c r="I378" s="1451"/>
      <c r="J378" s="1451"/>
      <c r="K378" s="1451"/>
      <c r="L378" s="1451"/>
      <c r="M378" s="1451"/>
      <c r="N378" s="1451"/>
      <c r="O378" s="1451"/>
      <c r="P378" s="1451"/>
      <c r="Q378" s="1451"/>
      <c r="R378" s="1451"/>
      <c r="S378" s="1451"/>
      <c r="T378" s="1451"/>
      <c r="U378" s="1451"/>
      <c r="V378" s="1451"/>
      <c r="W378" s="1451"/>
      <c r="X378" s="1451"/>
      <c r="Y378" s="1451"/>
      <c r="Z378" s="1451"/>
      <c r="AA378" s="1451"/>
      <c r="AB378" s="1451"/>
      <c r="AC378" s="1451"/>
      <c r="AD378" s="1451"/>
      <c r="AE378" s="1451"/>
      <c r="AF378" s="1451"/>
      <c r="AG378" s="1451"/>
      <c r="AH378" s="1451"/>
    </row>
    <row r="379" spans="1:34" ht="12.95" customHeight="1">
      <c r="E379" s="4" t="s">
        <v>447</v>
      </c>
      <c r="F379" s="4"/>
      <c r="G379" s="4"/>
      <c r="H379" s="4"/>
      <c r="I379" s="4"/>
      <c r="J379" s="4"/>
      <c r="K379" s="4"/>
      <c r="L379" s="4"/>
      <c r="N379" s="1301"/>
      <c r="O379" s="1301"/>
      <c r="P379" s="1301"/>
      <c r="Q379" s="1301"/>
      <c r="R379" s="4"/>
      <c r="U379" s="4" t="s">
        <v>448</v>
      </c>
      <c r="V379" s="4"/>
      <c r="W379" s="4"/>
      <c r="X379" s="4"/>
      <c r="Y379" s="4"/>
      <c r="Z379" s="4"/>
      <c r="AA379" s="4"/>
      <c r="AB379" s="4"/>
      <c r="AC379" s="1301"/>
      <c r="AD379" s="1301"/>
      <c r="AE379" s="1301"/>
      <c r="AF379" s="1301"/>
    </row>
    <row r="380" spans="1:34" ht="12.95" customHeight="1">
      <c r="E380" s="4" t="s">
        <v>449</v>
      </c>
      <c r="F380" s="4"/>
      <c r="G380" s="4"/>
      <c r="H380" s="4"/>
      <c r="I380" s="4"/>
      <c r="J380" s="4"/>
      <c r="K380" s="4"/>
      <c r="L380" s="4"/>
      <c r="N380" s="1301"/>
      <c r="O380" s="1301"/>
      <c r="P380" s="1301"/>
      <c r="Q380" s="1301"/>
      <c r="R380" s="4"/>
      <c r="U380" s="4" t="s">
        <v>0</v>
      </c>
      <c r="V380" s="4"/>
      <c r="W380" s="4"/>
      <c r="X380" s="4"/>
      <c r="Y380" s="4"/>
      <c r="Z380" s="4"/>
      <c r="AA380" s="4"/>
      <c r="AB380" s="4"/>
      <c r="AC380" s="1301"/>
      <c r="AD380" s="1301"/>
      <c r="AE380" s="1301"/>
      <c r="AF380" s="1301"/>
    </row>
    <row r="381" spans="1:34" ht="12.95" customHeight="1">
      <c r="E381" s="4" t="s">
        <v>1</v>
      </c>
      <c r="F381" s="4"/>
      <c r="G381" s="4"/>
      <c r="H381" s="4"/>
      <c r="I381" s="4"/>
      <c r="J381" s="4"/>
      <c r="K381" s="4"/>
      <c r="L381" s="4"/>
      <c r="N381" s="1301"/>
      <c r="O381" s="1301"/>
      <c r="P381" s="1301"/>
      <c r="Q381" s="1301"/>
      <c r="R381" s="4"/>
      <c r="V381" s="4"/>
      <c r="W381" s="4"/>
      <c r="X381" s="4"/>
      <c r="Y381" s="4"/>
      <c r="Z381" s="4"/>
      <c r="AA381" s="4"/>
      <c r="AB381" s="4"/>
    </row>
    <row r="382" spans="1:34" ht="12.95" customHeight="1">
      <c r="E382" s="4" t="s">
        <v>2</v>
      </c>
      <c r="F382" s="4"/>
      <c r="G382" s="4"/>
      <c r="H382" s="4"/>
      <c r="I382" s="4"/>
      <c r="J382" s="4"/>
      <c r="K382" s="4"/>
      <c r="L382" s="4"/>
      <c r="N382" s="1453"/>
      <c r="O382" s="1453"/>
      <c r="P382" s="1453"/>
      <c r="Q382" s="1453"/>
      <c r="R382" s="1453"/>
      <c r="S382" s="1453"/>
      <c r="T382" s="1453"/>
      <c r="U382" s="1453"/>
      <c r="V382" s="1453"/>
      <c r="W382" s="1453"/>
      <c r="X382" s="1453"/>
      <c r="Y382" s="1453"/>
      <c r="Z382" s="1453"/>
      <c r="AA382" s="1453"/>
      <c r="AB382" s="1453"/>
      <c r="AC382" s="1453"/>
      <c r="AD382" s="1453"/>
      <c r="AE382" s="1453"/>
      <c r="AF382" s="1453"/>
    </row>
    <row r="383" spans="1:34" ht="12.95" customHeight="1">
      <c r="E383" s="4"/>
      <c r="F383" s="4"/>
      <c r="G383" s="4"/>
      <c r="H383" s="4"/>
      <c r="I383" s="4"/>
      <c r="J383" s="4"/>
      <c r="K383" s="4"/>
      <c r="L383" s="4"/>
      <c r="N383" s="1454"/>
      <c r="O383" s="1454"/>
      <c r="P383" s="1454"/>
      <c r="Q383" s="1454"/>
      <c r="R383" s="1454"/>
      <c r="S383" s="1454"/>
      <c r="T383" s="1454"/>
      <c r="U383" s="1454"/>
      <c r="V383" s="1454"/>
      <c r="W383" s="1454"/>
      <c r="X383" s="1454"/>
      <c r="Y383" s="1454"/>
      <c r="Z383" s="1454"/>
      <c r="AA383" s="1454"/>
      <c r="AB383" s="1454"/>
      <c r="AC383" s="1454"/>
      <c r="AD383" s="1454"/>
      <c r="AE383" s="1454"/>
      <c r="AF383" s="1454"/>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305</v>
      </c>
      <c r="S386" s="1431"/>
      <c r="T386" s="1431"/>
      <c r="U386" s="1" t="s">
        <v>306</v>
      </c>
      <c r="V386" s="1431"/>
      <c r="W386" s="1431"/>
      <c r="Y386" t="s">
        <v>2033</v>
      </c>
      <c r="AC386" s="27" t="s">
        <v>305</v>
      </c>
      <c r="AD386" s="1431"/>
      <c r="AE386" s="1431"/>
      <c r="AF386" s="1" t="s">
        <v>306</v>
      </c>
      <c r="AG386" s="1431"/>
      <c r="AH386" s="1431"/>
    </row>
    <row r="387" spans="1:36" ht="12.95" customHeight="1">
      <c r="E387" s="4" t="s">
        <v>985</v>
      </c>
      <c r="F387" s="4"/>
      <c r="G387" s="4"/>
      <c r="H387" s="4"/>
      <c r="I387" s="4"/>
      <c r="J387" s="4"/>
      <c r="K387" s="4"/>
      <c r="L387" s="4"/>
      <c r="N387" s="1431"/>
      <c r="O387" s="1431"/>
      <c r="P387" s="1431"/>
    </row>
    <row r="388" spans="1:36" ht="12.95" customHeight="1">
      <c r="E388" s="204" t="s">
        <v>2038</v>
      </c>
      <c r="F388" s="4"/>
      <c r="G388" s="4"/>
      <c r="H388" s="4"/>
      <c r="I388" s="4"/>
      <c r="J388" s="4"/>
      <c r="K388" s="4"/>
      <c r="L388" s="4"/>
      <c r="AG388" s="1443" t="s">
        <v>590</v>
      </c>
      <c r="AH388" s="1443"/>
    </row>
    <row r="389" spans="1:36" ht="12.95" customHeight="1">
      <c r="E389" s="4"/>
      <c r="F389" s="4"/>
      <c r="G389" s="4" t="s">
        <v>2039</v>
      </c>
      <c r="H389" s="4"/>
      <c r="I389" s="4"/>
      <c r="J389" s="4"/>
      <c r="K389" s="4"/>
      <c r="L389" s="4"/>
      <c r="AG389" s="1443" t="s">
        <v>590</v>
      </c>
      <c r="AH389" s="1443"/>
    </row>
    <row r="390" spans="1:36" ht="12.95" customHeight="1">
      <c r="E390" s="4"/>
      <c r="F390" s="4"/>
      <c r="G390" s="320" t="s">
        <v>986</v>
      </c>
      <c r="H390" s="4"/>
      <c r="I390" s="4"/>
      <c r="J390" s="4"/>
      <c r="K390" s="4"/>
      <c r="L390" s="4"/>
      <c r="V390" s="1399" t="s">
        <v>590</v>
      </c>
      <c r="W390" s="1399"/>
      <c r="Y390" s="22" t="s">
        <v>978</v>
      </c>
    </row>
    <row r="391" spans="1:36" ht="12.95" customHeight="1">
      <c r="E391" s="4" t="s">
        <v>979</v>
      </c>
      <c r="F391" s="4"/>
      <c r="G391" s="4"/>
      <c r="H391" s="4"/>
      <c r="I391" s="4"/>
      <c r="J391" s="4"/>
      <c r="K391" s="4"/>
      <c r="L391" s="4"/>
      <c r="V391" s="1399" t="s">
        <v>590</v>
      </c>
      <c r="W391" s="1399"/>
      <c r="Y391" s="4" t="s">
        <v>980</v>
      </c>
    </row>
    <row r="392" spans="1:36" ht="12.95" customHeight="1"/>
    <row r="393" spans="1:36" ht="12.95" customHeight="1">
      <c r="A393" s="2" t="s">
        <v>78</v>
      </c>
      <c r="B393" s="2"/>
    </row>
    <row r="394" spans="1:36" ht="12.95" customHeight="1">
      <c r="D394" t="s">
        <v>428</v>
      </c>
      <c r="J394" s="1434" t="s">
        <v>2799</v>
      </c>
      <c r="K394" s="1380"/>
      <c r="L394" s="1380"/>
      <c r="M394" s="1380"/>
      <c r="N394" s="1380"/>
      <c r="O394" s="1380"/>
      <c r="P394" s="1380"/>
      <c r="Q394" s="1380"/>
      <c r="R394" s="1380"/>
      <c r="S394" s="1380"/>
      <c r="T394" s="1380"/>
      <c r="U394" s="1380"/>
      <c r="V394" s="8" t="s">
        <v>83</v>
      </c>
      <c r="W394" s="8"/>
      <c r="X394" s="8"/>
      <c r="Y394" s="8"/>
      <c r="Z394" s="8"/>
      <c r="AA394" s="8"/>
      <c r="AB394" s="8"/>
      <c r="AC394" s="1434" t="s">
        <v>2736</v>
      </c>
      <c r="AD394" s="1380"/>
      <c r="AE394" s="1380"/>
      <c r="AF394" s="1380"/>
      <c r="AG394" s="1380"/>
      <c r="AH394" s="1380"/>
      <c r="AI394" s="1380"/>
      <c r="AJ394" s="1380"/>
    </row>
    <row r="395" spans="1:36" ht="12.95" customHeight="1">
      <c r="D395" s="3" t="s">
        <v>1180</v>
      </c>
      <c r="J395" s="1322" t="s">
        <v>2736</v>
      </c>
      <c r="K395" s="1322"/>
      <c r="L395" s="1322"/>
      <c r="M395" s="1322"/>
      <c r="N395" s="1322"/>
      <c r="O395" s="1322"/>
      <c r="P395" s="1322"/>
      <c r="Q395" s="1322"/>
      <c r="R395" s="1322"/>
      <c r="S395" s="1322"/>
      <c r="T395" s="1322"/>
      <c r="U395" s="1322"/>
      <c r="V395" s="3" t="s">
        <v>1180</v>
      </c>
      <c r="W395" s="8"/>
      <c r="X395" s="8"/>
      <c r="Y395" s="8"/>
      <c r="Z395" s="8"/>
      <c r="AA395" s="8"/>
      <c r="AB395" s="8"/>
      <c r="AC395" s="1380" t="s">
        <v>2736</v>
      </c>
      <c r="AD395" s="1380"/>
      <c r="AE395" s="1380"/>
      <c r="AF395" s="1380"/>
      <c r="AG395" s="1380"/>
      <c r="AH395" s="1380"/>
      <c r="AI395" s="1380"/>
      <c r="AJ395" s="1380"/>
    </row>
    <row r="396" spans="1:36" ht="12.95" customHeight="1">
      <c r="D396" s="3" t="s">
        <v>440</v>
      </c>
      <c r="J396" s="1457" t="s">
        <v>2720</v>
      </c>
      <c r="K396" s="1322"/>
      <c r="L396" s="1322"/>
      <c r="M396" s="1322"/>
      <c r="N396" s="1322"/>
      <c r="O396" s="1322"/>
      <c r="P396" s="1322"/>
      <c r="Q396" s="1322"/>
      <c r="R396" s="1322"/>
      <c r="S396" s="1322"/>
      <c r="T396" s="1322"/>
      <c r="U396" s="1322"/>
      <c r="V396" s="3" t="s">
        <v>440</v>
      </c>
      <c r="W396" s="8"/>
      <c r="X396" s="8"/>
      <c r="Y396" s="8"/>
      <c r="Z396" s="8"/>
      <c r="AA396" s="8"/>
      <c r="AB396" s="8"/>
      <c r="AC396" s="1380" t="s">
        <v>2720</v>
      </c>
      <c r="AD396" s="1380"/>
      <c r="AE396" s="1380"/>
      <c r="AF396" s="1380"/>
      <c r="AG396" s="1380"/>
      <c r="AH396" s="1380"/>
      <c r="AI396" s="1380"/>
      <c r="AJ396" s="1380"/>
    </row>
    <row r="397" spans="1:36" ht="12.95" customHeight="1">
      <c r="D397" t="s">
        <v>1176</v>
      </c>
      <c r="J397" s="1509" t="s">
        <v>2737</v>
      </c>
      <c r="K397" s="1319"/>
      <c r="L397" s="1319"/>
      <c r="M397" s="1319"/>
      <c r="N397" s="1319"/>
      <c r="O397" s="1319"/>
      <c r="P397" s="1319"/>
      <c r="Q397" s="1319"/>
      <c r="R397" s="1319"/>
      <c r="S397" s="1319"/>
      <c r="T397" s="1319"/>
      <c r="U397" s="1319"/>
      <c r="V397" s="1434" t="s">
        <v>2738</v>
      </c>
      <c r="W397" s="1380"/>
      <c r="X397" s="1380"/>
      <c r="Y397" s="1380"/>
      <c r="Z397" s="1380"/>
      <c r="AA397" s="1380"/>
      <c r="AB397" s="1380"/>
      <c r="AC397" s="1380"/>
      <c r="AD397" s="1380"/>
      <c r="AE397" s="1380"/>
      <c r="AF397" s="1380"/>
      <c r="AG397" s="1380"/>
      <c r="AH397" s="1380"/>
      <c r="AI397" s="1380"/>
      <c r="AJ397" s="1380"/>
    </row>
    <row r="398" spans="1:36" ht="12.95" customHeight="1">
      <c r="D398" t="s">
        <v>4</v>
      </c>
      <c r="Q398" s="1508">
        <v>46141</v>
      </c>
      <c r="R398" s="1508"/>
      <c r="S398" s="1508"/>
      <c r="T398" s="1508"/>
      <c r="U398" s="1508"/>
      <c r="V398" t="s">
        <v>309</v>
      </c>
      <c r="AI398" s="1399" t="s">
        <v>668</v>
      </c>
      <c r="AJ398" s="1399"/>
    </row>
    <row r="399" spans="1:36" ht="12.95" customHeight="1">
      <c r="D399" t="s">
        <v>5</v>
      </c>
      <c r="Q399" s="1447"/>
      <c r="R399" s="1448"/>
      <c r="S399" s="1448"/>
      <c r="T399" s="1448"/>
      <c r="U399" s="1448"/>
      <c r="W399" s="21" t="s">
        <v>74</v>
      </c>
      <c r="AG399" s="1436"/>
      <c r="AH399" s="1436"/>
      <c r="AI399" s="1436"/>
      <c r="AJ399" s="1436"/>
    </row>
    <row r="400" spans="1:36" ht="12.95" customHeight="1">
      <c r="D400" t="s">
        <v>427</v>
      </c>
      <c r="Q400" s="1445">
        <v>8150000</v>
      </c>
      <c r="R400" s="1445"/>
      <c r="S400" s="1445"/>
      <c r="T400" s="1445"/>
      <c r="U400" s="1445"/>
      <c r="V400" s="3" t="s">
        <v>1179</v>
      </c>
      <c r="AG400" s="1440">
        <v>46291</v>
      </c>
      <c r="AH400" s="1440"/>
      <c r="AI400" s="1440"/>
      <c r="AJ400" s="1440"/>
    </row>
    <row r="401" spans="4:36" ht="12.95" customHeight="1">
      <c r="D401" t="s">
        <v>88</v>
      </c>
      <c r="I401" s="1499" t="s">
        <v>2739</v>
      </c>
      <c r="J401" s="1446"/>
      <c r="K401" s="1446"/>
      <c r="L401" s="1446"/>
      <c r="M401" s="1446"/>
      <c r="N401" s="1446"/>
      <c r="Q401" s="4" t="s">
        <v>206</v>
      </c>
      <c r="S401" s="1444"/>
      <c r="T401" s="1444"/>
      <c r="U401" s="1444"/>
      <c r="V401" t="s">
        <v>73</v>
      </c>
      <c r="AI401" s="1399" t="s">
        <v>668</v>
      </c>
      <c r="AJ401" s="1399"/>
    </row>
    <row r="402" spans="4:36" ht="12.95" customHeight="1">
      <c r="D402" t="s">
        <v>310</v>
      </c>
      <c r="Q402" s="1452">
        <f>AG402/6</f>
        <v>108260.5</v>
      </c>
      <c r="R402" s="1452"/>
      <c r="S402" s="1452"/>
      <c r="T402" s="1452"/>
      <c r="U402" s="1452"/>
      <c r="V402" t="s">
        <v>311</v>
      </c>
      <c r="AG402" s="1436">
        <f>'Sources and Uses Budget'!C13</f>
        <v>649563</v>
      </c>
      <c r="AH402" s="1436"/>
      <c r="AI402" s="1436"/>
      <c r="AJ402" s="1436"/>
    </row>
    <row r="403" spans="4:36" ht="12.95" customHeight="1">
      <c r="D403" t="s">
        <v>312</v>
      </c>
      <c r="Q403" s="1500">
        <v>1.23E-2</v>
      </c>
      <c r="R403" s="1500"/>
      <c r="S403" s="1500"/>
      <c r="T403" s="1500"/>
      <c r="U403" s="1500"/>
      <c r="V403" t="s">
        <v>1161</v>
      </c>
      <c r="AG403" s="1436"/>
      <c r="AH403" s="1436"/>
      <c r="AI403" s="1436"/>
      <c r="AJ403" s="1436"/>
    </row>
    <row r="404" spans="4:36" ht="12.95" customHeight="1">
      <c r="D404" t="s">
        <v>1160</v>
      </c>
      <c r="AG404" s="1436"/>
      <c r="AH404" s="1436"/>
      <c r="AI404" s="1436"/>
      <c r="AJ404" s="1436"/>
    </row>
    <row r="405" spans="4:36" ht="12.95" customHeight="1">
      <c r="AG405" s="456"/>
      <c r="AH405" s="456"/>
      <c r="AI405" s="456"/>
      <c r="AJ405" s="456"/>
    </row>
    <row r="406" spans="4:36" ht="12.95" customHeight="1">
      <c r="D406" s="3" t="s">
        <v>2095</v>
      </c>
      <c r="AG406" s="456"/>
      <c r="AH406" s="456"/>
      <c r="AI406" s="1399" t="s">
        <v>668</v>
      </c>
      <c r="AJ406" s="1399"/>
    </row>
    <row r="407" spans="4:36" ht="12.95" customHeight="1">
      <c r="D407" s="3" t="s">
        <v>1654</v>
      </c>
      <c r="T407" s="1353"/>
      <c r="U407" s="1353"/>
      <c r="V407" s="1353"/>
      <c r="W407" s="1353"/>
      <c r="X407" s="1353"/>
      <c r="Y407" s="1353"/>
      <c r="Z407" s="1353"/>
      <c r="AA407" s="1353"/>
      <c r="AB407" s="1353"/>
      <c r="AC407" s="1353"/>
      <c r="AD407" s="1353"/>
      <c r="AE407" s="1353"/>
      <c r="AF407" s="1353"/>
      <c r="AG407" s="1353"/>
      <c r="AH407" s="1353"/>
      <c r="AI407" s="1353"/>
      <c r="AJ407" s="1353"/>
    </row>
    <row r="408" spans="4:36" ht="12.95" customHeight="1">
      <c r="D408" s="3" t="s">
        <v>1653</v>
      </c>
      <c r="T408" s="1353"/>
      <c r="U408" s="1353"/>
      <c r="V408" s="1353"/>
      <c r="W408" s="1353"/>
      <c r="X408" s="1353"/>
      <c r="Y408" s="1353"/>
      <c r="Z408" s="1353"/>
      <c r="AA408" s="1353"/>
      <c r="AB408" s="1353"/>
      <c r="AC408" s="1353"/>
      <c r="AD408" s="1353"/>
      <c r="AE408" s="1353"/>
      <c r="AF408" s="1353"/>
      <c r="AG408" s="1353"/>
      <c r="AH408" s="1353"/>
      <c r="AI408" s="1353"/>
      <c r="AJ408" s="1353"/>
    </row>
    <row r="409" spans="4:36" ht="12.95" customHeight="1">
      <c r="AG409" s="456"/>
      <c r="AH409" s="456"/>
      <c r="AI409" s="456"/>
      <c r="AJ409" s="456"/>
    </row>
    <row r="410" spans="4:36" ht="12.95" customHeight="1">
      <c r="D410" s="3" t="s">
        <v>1647</v>
      </c>
      <c r="S410" s="1353" t="s">
        <v>544</v>
      </c>
      <c r="T410" s="1353"/>
      <c r="U410" s="1353"/>
      <c r="V410" t="s">
        <v>1648</v>
      </c>
      <c r="AG410" s="1449">
        <v>99</v>
      </c>
      <c r="AH410" s="1449"/>
      <c r="AI410" s="1449"/>
      <c r="AJ410" s="1449"/>
    </row>
    <row r="411" spans="4:36" ht="12.95" customHeight="1">
      <c r="D411" s="3" t="s">
        <v>1645</v>
      </c>
      <c r="S411" s="1353" t="s">
        <v>544</v>
      </c>
      <c r="T411" s="1353"/>
      <c r="U411" s="1353"/>
      <c r="V411" t="s">
        <v>1650</v>
      </c>
      <c r="AE411" s="1433">
        <v>807187.49999999988</v>
      </c>
      <c r="AF411" s="1433"/>
      <c r="AG411" s="1433"/>
      <c r="AH411" s="1433"/>
      <c r="AI411" s="1433"/>
      <c r="AJ411" s="1433"/>
    </row>
    <row r="412" spans="4:36" ht="12.95" customHeight="1">
      <c r="D412" s="3" t="s">
        <v>1646</v>
      </c>
      <c r="K412" s="1441"/>
      <c r="L412" s="1441"/>
      <c r="M412" s="1441"/>
      <c r="N412" s="1441"/>
      <c r="O412" s="1441"/>
      <c r="P412" s="1441"/>
      <c r="Q412" s="1441"/>
      <c r="R412" s="1441"/>
      <c r="S412" s="1441"/>
      <c r="T412" s="1441"/>
      <c r="U412" s="1441"/>
      <c r="V412" s="1441"/>
      <c r="W412" s="1441"/>
      <c r="X412" s="1441"/>
      <c r="Y412" s="1441"/>
      <c r="Z412" s="1441"/>
      <c r="AA412" s="1441"/>
      <c r="AB412" s="1441"/>
      <c r="AC412" s="1441"/>
      <c r="AD412" s="1441"/>
      <c r="AE412" s="1441"/>
      <c r="AF412" s="1441"/>
      <c r="AG412" s="1441"/>
      <c r="AH412" s="1441"/>
      <c r="AI412" s="1441"/>
      <c r="AJ412" s="1441"/>
    </row>
    <row r="413" spans="4:36" ht="12.95" customHeight="1">
      <c r="D413" s="3" t="s">
        <v>1649</v>
      </c>
      <c r="K413" s="1441" t="s">
        <v>2721</v>
      </c>
      <c r="L413" s="1441"/>
      <c r="M413" s="1441"/>
      <c r="N413" s="1441"/>
      <c r="O413" s="1441"/>
      <c r="P413" s="1441"/>
      <c r="Q413" s="1441"/>
      <c r="R413" s="1441"/>
      <c r="S413" s="1441"/>
      <c r="T413" s="1441"/>
      <c r="U413" s="1441"/>
      <c r="V413" s="1441"/>
      <c r="W413" s="1441"/>
      <c r="X413" s="1441"/>
      <c r="Y413" s="1441"/>
      <c r="Z413" s="1441"/>
      <c r="AA413" s="1441"/>
      <c r="AB413" s="1441"/>
      <c r="AC413" s="1441"/>
      <c r="AD413" s="1441"/>
      <c r="AE413" s="1441"/>
      <c r="AF413" s="1441"/>
      <c r="AG413" s="1441"/>
      <c r="AH413" s="1441"/>
      <c r="AI413" s="1441"/>
      <c r="AJ413" s="1441"/>
    </row>
    <row r="414" spans="4:36" ht="12.95" customHeight="1">
      <c r="D414" s="3" t="s">
        <v>1652</v>
      </c>
      <c r="E414" s="477"/>
      <c r="F414" s="477"/>
      <c r="G414" s="477"/>
      <c r="H414" s="477"/>
      <c r="I414" s="477"/>
      <c r="J414" s="477"/>
      <c r="K414" s="477"/>
      <c r="L414" s="477"/>
      <c r="M414" s="477"/>
      <c r="N414" s="477"/>
      <c r="O414" s="477"/>
      <c r="P414" s="477"/>
      <c r="Q414" s="477"/>
      <c r="R414" s="477"/>
      <c r="S414" s="1442" t="s">
        <v>2722</v>
      </c>
      <c r="T414" s="1442"/>
      <c r="U414" s="1442"/>
      <c r="V414" s="1442"/>
      <c r="W414" s="1442"/>
      <c r="X414" s="1442"/>
      <c r="Y414" s="1442"/>
      <c r="Z414" s="1442"/>
      <c r="AA414" s="1442"/>
      <c r="AB414" s="1442"/>
      <c r="AC414" s="1442"/>
      <c r="AD414" s="1442"/>
      <c r="AE414" s="1442"/>
      <c r="AF414" s="1442"/>
      <c r="AG414" s="1442"/>
      <c r="AH414" s="1442"/>
      <c r="AI414" s="1442"/>
      <c r="AJ414" s="1442"/>
    </row>
    <row r="415" spans="4:36" ht="12.95" customHeight="1">
      <c r="D415" s="1511" t="s">
        <v>1651</v>
      </c>
      <c r="E415" s="1511"/>
      <c r="F415" s="1511"/>
      <c r="G415" s="1511"/>
      <c r="H415" s="1511"/>
      <c r="I415" s="1511"/>
      <c r="J415" s="1511"/>
      <c r="K415" s="1511"/>
      <c r="L415" s="1511"/>
      <c r="M415" s="1511"/>
      <c r="N415" s="1511"/>
      <c r="O415" s="1511"/>
      <c r="P415" s="1511"/>
      <c r="Q415" s="1511"/>
      <c r="R415" s="1511"/>
      <c r="S415" s="1511"/>
      <c r="T415" s="1511"/>
      <c r="U415" s="1511"/>
      <c r="V415" s="1511"/>
      <c r="W415" s="1511"/>
      <c r="X415" s="1511"/>
      <c r="Y415" s="1511"/>
      <c r="Z415" s="1511"/>
      <c r="AA415" s="1511"/>
      <c r="AB415" s="1511"/>
      <c r="AC415" s="1511"/>
      <c r="AD415" s="1511"/>
      <c r="AE415" s="1511"/>
      <c r="AF415" s="1511"/>
      <c r="AG415" s="1511"/>
      <c r="AH415" s="1511"/>
      <c r="AI415" s="1511"/>
      <c r="AJ415" s="1511"/>
    </row>
    <row r="416" spans="4:36" ht="12.95" customHeight="1">
      <c r="D416" s="1511"/>
      <c r="E416" s="1511"/>
      <c r="F416" s="1511"/>
      <c r="G416" s="1511"/>
      <c r="H416" s="1511"/>
      <c r="I416" s="1511"/>
      <c r="J416" s="1511"/>
      <c r="K416" s="1511"/>
      <c r="L416" s="1511"/>
      <c r="M416" s="1511"/>
      <c r="N416" s="1511"/>
      <c r="O416" s="1511"/>
      <c r="P416" s="1511"/>
      <c r="Q416" s="1511"/>
      <c r="R416" s="1511"/>
      <c r="S416" s="1511"/>
      <c r="T416" s="1511"/>
      <c r="U416" s="1511"/>
      <c r="V416" s="1511"/>
      <c r="W416" s="1511"/>
      <c r="X416" s="1511"/>
      <c r="Y416" s="1511"/>
      <c r="Z416" s="1511"/>
      <c r="AA416" s="1511"/>
      <c r="AB416" s="1511"/>
      <c r="AC416" s="1511"/>
      <c r="AD416" s="1511"/>
      <c r="AE416" s="1511"/>
      <c r="AF416" s="1511"/>
      <c r="AG416" s="1511"/>
      <c r="AH416" s="1511"/>
      <c r="AI416" s="1511"/>
      <c r="AJ416" s="1511"/>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434" t="s">
        <v>2723</v>
      </c>
      <c r="J419" s="1434"/>
      <c r="K419" s="1434"/>
      <c r="L419" s="1434"/>
      <c r="M419" s="1434"/>
      <c r="N419" s="1434"/>
      <c r="O419" s="1434"/>
      <c r="P419" s="1434"/>
      <c r="Q419" s="1434"/>
      <c r="R419" s="1434"/>
      <c r="S419" s="1434"/>
      <c r="T419" s="1434"/>
      <c r="U419" s="1434"/>
      <c r="V419" s="1434"/>
      <c r="W419" s="1434"/>
      <c r="X419" s="1434"/>
      <c r="Y419" s="1434"/>
      <c r="Z419" s="1434"/>
      <c r="AA419" s="1434"/>
      <c r="AB419" s="1434"/>
      <c r="AC419" s="1434"/>
      <c r="AD419" s="1434"/>
      <c r="AE419" s="1434"/>
    </row>
    <row r="420" spans="1:39" ht="12.95" customHeight="1">
      <c r="E420" t="s">
        <v>106</v>
      </c>
      <c r="R420" s="1399" t="s">
        <v>544</v>
      </c>
      <c r="S420" s="1399"/>
      <c r="AC420" s="27" t="s">
        <v>569</v>
      </c>
      <c r="AD420" s="1301">
        <v>6</v>
      </c>
      <c r="AE420" s="1301"/>
    </row>
    <row r="421" spans="1:39" ht="12.95" customHeight="1">
      <c r="E421" t="s">
        <v>107</v>
      </c>
      <c r="R421" s="1399" t="s">
        <v>590</v>
      </c>
      <c r="S421" s="1399"/>
      <c r="AC421" s="27" t="s">
        <v>569</v>
      </c>
      <c r="AD421" s="1301"/>
      <c r="AE421" s="1301"/>
    </row>
    <row r="422" spans="1:39" ht="12.95" customHeight="1">
      <c r="E422" t="s">
        <v>108</v>
      </c>
      <c r="S422" s="1399" t="s">
        <v>590</v>
      </c>
      <c r="T422" s="1399"/>
    </row>
    <row r="423" spans="1:39" ht="12.95" customHeight="1">
      <c r="E423" t="s">
        <v>170</v>
      </c>
      <c r="H423" s="1501" t="s">
        <v>334</v>
      </c>
      <c r="I423" s="1501"/>
      <c r="J423" s="1501"/>
      <c r="K423" s="1501"/>
      <c r="L423" s="1501"/>
      <c r="M423" s="1501"/>
      <c r="N423" s="1501"/>
      <c r="O423" s="1501"/>
      <c r="P423" s="1501"/>
      <c r="Q423" s="1501"/>
      <c r="R423" s="1501"/>
      <c r="S423" s="1501"/>
      <c r="T423" s="1501"/>
      <c r="U423" s="1501"/>
      <c r="V423" s="1501"/>
      <c r="W423" s="1501"/>
      <c r="X423" s="1501"/>
      <c r="Y423" s="1501"/>
      <c r="Z423" s="1501"/>
      <c r="AA423" s="1501"/>
      <c r="AB423" s="1501"/>
      <c r="AC423" s="1501"/>
      <c r="AD423" s="1501"/>
      <c r="AE423" s="1501"/>
    </row>
    <row r="424" spans="1:39" ht="12.95" customHeight="1">
      <c r="H424" s="1502"/>
      <c r="I424" s="1502"/>
      <c r="J424" s="1502"/>
      <c r="K424" s="1502"/>
      <c r="L424" s="1502"/>
      <c r="M424" s="1502"/>
      <c r="N424" s="1502"/>
      <c r="O424" s="1502"/>
      <c r="P424" s="1502"/>
      <c r="Q424" s="1502"/>
      <c r="R424" s="1502"/>
      <c r="S424" s="1502"/>
      <c r="T424" s="1502"/>
      <c r="U424" s="1502"/>
      <c r="V424" s="1502"/>
      <c r="W424" s="1502"/>
      <c r="X424" s="1502"/>
      <c r="Y424" s="1502"/>
      <c r="Z424" s="1502"/>
      <c r="AA424" s="1502"/>
      <c r="AB424" s="1502"/>
      <c r="AC424" s="1502"/>
      <c r="AD424" s="1502"/>
      <c r="AE424" s="1502"/>
    </row>
    <row r="425" spans="1:39" ht="12.95" customHeight="1"/>
    <row r="426" spans="1:39" ht="12.95" customHeight="1">
      <c r="A426" s="2" t="s">
        <v>589</v>
      </c>
      <c r="B426" s="2"/>
      <c r="C426" s="2"/>
      <c r="D426" s="2" t="s">
        <v>114</v>
      </c>
      <c r="AF426" s="2" t="s">
        <v>955</v>
      </c>
    </row>
    <row r="427" spans="1:39" ht="12.95" customHeight="1">
      <c r="E427" s="1431"/>
      <c r="F427" s="1431"/>
      <c r="G427" s="1431"/>
      <c r="H427" s="13" t="s">
        <v>115</v>
      </c>
      <c r="I427" s="1431"/>
      <c r="J427" s="1431"/>
      <c r="K427" s="1431"/>
      <c r="L427" t="s">
        <v>116</v>
      </c>
      <c r="N427" s="27" t="s">
        <v>574</v>
      </c>
      <c r="P427" s="1510">
        <v>1.0680000000000001</v>
      </c>
      <c r="Q427" s="1510"/>
      <c r="R427" s="1510"/>
      <c r="S427" t="s">
        <v>117</v>
      </c>
      <c r="W427" s="1435">
        <f>IF(E427&gt;0,(E427*I427),(P427*43560))</f>
        <v>46522.080000000002</v>
      </c>
      <c r="X427" s="1435"/>
      <c r="Y427" s="1435"/>
      <c r="Z427" t="s">
        <v>118</v>
      </c>
      <c r="AF427" s="1524">
        <f>IFERROR(IF(P427&gt;0,(AG446/P427),(AG446/(W427/43560))),0)</f>
        <v>144.19475655430711</v>
      </c>
      <c r="AG427" s="1524"/>
      <c r="AH427" s="1524"/>
      <c r="AM427" s="3"/>
    </row>
    <row r="428" spans="1:39" ht="12.95" customHeight="1">
      <c r="E428" t="s">
        <v>51</v>
      </c>
    </row>
    <row r="429" spans="1:39" ht="12.95" customHeight="1">
      <c r="E429" s="1519"/>
      <c r="F429" s="1519"/>
      <c r="G429" s="1519"/>
      <c r="H429" s="1519"/>
      <c r="I429" s="1519"/>
      <c r="J429" s="1519"/>
      <c r="K429" s="1519"/>
      <c r="L429" s="1519"/>
      <c r="M429" s="1519"/>
      <c r="N429" s="1519"/>
      <c r="O429" s="1519"/>
      <c r="P429" s="1519"/>
      <c r="Q429" s="1519"/>
      <c r="R429" s="1519"/>
      <c r="S429" s="1519"/>
      <c r="T429" s="1519"/>
      <c r="U429" s="1519"/>
      <c r="V429" s="1519"/>
      <c r="W429" s="1519"/>
      <c r="X429" s="1519"/>
      <c r="Y429" s="1519"/>
      <c r="Z429" s="1519"/>
      <c r="AA429" s="1519"/>
      <c r="AB429" s="1519"/>
      <c r="AC429" s="1519"/>
      <c r="AD429" s="1519"/>
      <c r="AE429" s="1519"/>
      <c r="AF429" s="1519"/>
      <c r="AG429" s="1519"/>
      <c r="AH429" s="1519"/>
      <c r="AI429" s="1519"/>
      <c r="AJ429" s="1519"/>
    </row>
    <row r="430" spans="1:39" ht="12.95" customHeight="1">
      <c r="E430" s="118" t="s">
        <v>1722</v>
      </c>
      <c r="F430" s="1008"/>
      <c r="G430" s="1008"/>
      <c r="H430" s="1008"/>
      <c r="I430" s="1432">
        <v>1.0680000000000001</v>
      </c>
      <c r="J430" s="1432"/>
      <c r="K430" s="1432"/>
      <c r="L430" s="1008"/>
      <c r="M430" s="118"/>
      <c r="N430" s="1008"/>
      <c r="O430" s="1008"/>
      <c r="P430" s="1507">
        <f>(DU763+DU786+DU808)/I430</f>
        <v>272.47191011235952</v>
      </c>
      <c r="Q430" s="1507"/>
      <c r="R430" s="1507"/>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99">
        <v>1</v>
      </c>
      <c r="Q433" s="1399"/>
      <c r="S433" t="s">
        <v>189</v>
      </c>
      <c r="AE433" s="1399">
        <v>1</v>
      </c>
      <c r="AF433" s="1399"/>
    </row>
    <row r="434" spans="1:36" ht="12.95" customHeight="1">
      <c r="E434" t="s">
        <v>190</v>
      </c>
      <c r="P434" s="1399">
        <v>0</v>
      </c>
      <c r="Q434" s="1399"/>
      <c r="S434" t="s">
        <v>131</v>
      </c>
      <c r="AE434" s="1399" t="s">
        <v>590</v>
      </c>
      <c r="AF434" s="1399"/>
    </row>
    <row r="435" spans="1:36" ht="12.95" customHeight="1">
      <c r="F435" s="28" t="s">
        <v>132</v>
      </c>
    </row>
    <row r="436" spans="1:36" ht="12.95" customHeight="1">
      <c r="F436" s="1455"/>
      <c r="G436" s="1455"/>
      <c r="H436" s="1455"/>
      <c r="I436" s="1455"/>
      <c r="J436" s="1455"/>
      <c r="K436" s="1455"/>
      <c r="L436" s="1455"/>
      <c r="M436" s="1455"/>
      <c r="N436" s="1455"/>
      <c r="O436" s="1455"/>
      <c r="P436" s="1455"/>
      <c r="Q436" s="1455"/>
      <c r="R436" s="1455"/>
      <c r="S436" s="1455"/>
      <c r="T436" s="1455"/>
      <c r="U436" s="1455"/>
      <c r="V436" s="1455"/>
      <c r="W436" s="1455"/>
      <c r="X436" s="1455"/>
      <c r="Y436" s="1455"/>
      <c r="Z436" s="1455"/>
      <c r="AA436" s="1455"/>
      <c r="AB436" s="1455"/>
      <c r="AC436" s="1455"/>
      <c r="AD436" s="1455"/>
      <c r="AE436" s="1455"/>
      <c r="AF436" s="1455"/>
      <c r="AG436" s="1455"/>
      <c r="AH436" s="1455"/>
    </row>
    <row r="437" spans="1:36" ht="12.95" customHeight="1">
      <c r="F437" s="1456"/>
      <c r="G437" s="1456"/>
      <c r="H437" s="1456"/>
      <c r="I437" s="1456"/>
      <c r="J437" s="1456"/>
      <c r="K437" s="1456"/>
      <c r="L437" s="1456"/>
      <c r="M437" s="1456"/>
      <c r="N437" s="1456"/>
      <c r="O437" s="1456"/>
      <c r="P437" s="1456"/>
      <c r="Q437" s="1456"/>
      <c r="R437" s="1456"/>
      <c r="S437" s="1456"/>
      <c r="T437" s="1456"/>
      <c r="U437" s="1456"/>
      <c r="V437" s="1456"/>
      <c r="W437" s="1456"/>
      <c r="X437" s="1456"/>
      <c r="Y437" s="1456"/>
      <c r="Z437" s="1456"/>
      <c r="AA437" s="1456"/>
      <c r="AB437" s="1456"/>
      <c r="AC437" s="1456"/>
      <c r="AD437" s="1456"/>
      <c r="AE437" s="1456"/>
      <c r="AF437" s="1456"/>
      <c r="AG437" s="1456"/>
      <c r="AH437" s="1456"/>
    </row>
    <row r="438" spans="1:36" ht="12.95" customHeight="1">
      <c r="E438" t="s">
        <v>607</v>
      </c>
      <c r="P438" s="1"/>
      <c r="Q438" s="1458" t="s">
        <v>544</v>
      </c>
      <c r="R438" s="1399"/>
    </row>
    <row r="439" spans="1:36" ht="12.95" customHeight="1">
      <c r="F439" t="s">
        <v>608</v>
      </c>
      <c r="P439" s="1"/>
      <c r="Q439" s="1"/>
      <c r="AF439" s="1399" t="s">
        <v>590</v>
      </c>
      <c r="AG439" s="1417"/>
    </row>
    <row r="440" spans="1:36" ht="12.95" customHeight="1"/>
    <row r="441" spans="1:36" ht="12.95" customHeight="1">
      <c r="A441" s="2"/>
      <c r="B441" s="2"/>
      <c r="C441" s="2"/>
      <c r="E441" s="4" t="s">
        <v>308</v>
      </c>
      <c r="Z441" s="1399" t="s">
        <v>668</v>
      </c>
      <c r="AA441" s="139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99" t="s">
        <v>590</v>
      </c>
      <c r="AA443" s="1399"/>
    </row>
    <row r="444" spans="1:36" ht="12.95" customHeight="1"/>
    <row r="445" spans="1:36" ht="12.95" customHeight="1">
      <c r="A445" s="2" t="s">
        <v>466</v>
      </c>
      <c r="B445" s="2"/>
      <c r="C445" s="2"/>
      <c r="D445" s="2" t="s">
        <v>763</v>
      </c>
      <c r="AF445" s="48"/>
    </row>
    <row r="446" spans="1:36" ht="12.95" customHeight="1">
      <c r="D446" s="1414" t="s">
        <v>43</v>
      </c>
      <c r="E446" s="1410"/>
      <c r="F446" s="1410"/>
      <c r="G446" s="1410"/>
      <c r="H446" s="1410"/>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1"/>
      <c r="AG446" s="1332">
        <v>154</v>
      </c>
      <c r="AH446" s="1332"/>
      <c r="AI446" s="1332"/>
      <c r="AJ446" s="1332"/>
    </row>
    <row r="447" spans="1:36" ht="12.95" customHeight="1">
      <c r="D447" s="1409" t="s">
        <v>1220</v>
      </c>
      <c r="E447" s="1415"/>
      <c r="F447" s="1415"/>
      <c r="G447" s="1415"/>
      <c r="H447" s="1415"/>
      <c r="I447" s="1415"/>
      <c r="J447" s="1415"/>
      <c r="K447" s="1415"/>
      <c r="L447" s="1415"/>
      <c r="M447" s="1415"/>
      <c r="N447" s="1415"/>
      <c r="O447" s="1415"/>
      <c r="P447" s="1415"/>
      <c r="Q447" s="1415"/>
      <c r="R447" s="1415"/>
      <c r="S447" s="1415"/>
      <c r="T447" s="1415"/>
      <c r="U447" s="1415"/>
      <c r="V447" s="1415"/>
      <c r="W447" s="1415"/>
      <c r="X447" s="1415"/>
      <c r="Y447" s="1415"/>
      <c r="Z447" s="1415"/>
      <c r="AA447" s="1415"/>
      <c r="AB447" s="1415"/>
      <c r="AC447" s="1415"/>
      <c r="AD447" s="1415"/>
      <c r="AE447" s="1415"/>
      <c r="AF447" s="1416"/>
      <c r="AG447" s="1407">
        <v>0</v>
      </c>
      <c r="AH447" s="1408"/>
      <c r="AI447" s="1408"/>
      <c r="AJ447" s="1408"/>
    </row>
    <row r="448" spans="1:36" ht="12.95" customHeight="1">
      <c r="D448" s="1409" t="s">
        <v>1029</v>
      </c>
      <c r="E448" s="1415"/>
      <c r="F448" s="1415"/>
      <c r="G448" s="1415"/>
      <c r="H448" s="1415"/>
      <c r="I448" s="1415"/>
      <c r="J448" s="1415"/>
      <c r="K448" s="1415"/>
      <c r="L448" s="1415"/>
      <c r="M448" s="1415"/>
      <c r="N448" s="1415"/>
      <c r="O448" s="1415"/>
      <c r="P448" s="1415"/>
      <c r="Q448" s="1415"/>
      <c r="R448" s="1415"/>
      <c r="S448" s="1415"/>
      <c r="T448" s="1415"/>
      <c r="U448" s="1415"/>
      <c r="V448" s="1415"/>
      <c r="W448" s="1415"/>
      <c r="X448" s="1415"/>
      <c r="Y448" s="1415"/>
      <c r="Z448" s="1415"/>
      <c r="AA448" s="1415"/>
      <c r="AB448" s="1415"/>
      <c r="AC448" s="1415"/>
      <c r="AD448" s="1415"/>
      <c r="AE448" s="1415"/>
      <c r="AF448" s="1416"/>
      <c r="AG448" s="1332">
        <v>153</v>
      </c>
      <c r="AH448" s="1332"/>
      <c r="AI448" s="1332"/>
      <c r="AJ448" s="1332"/>
    </row>
    <row r="449" spans="4:55" ht="12.95" customHeight="1">
      <c r="D449" s="1409" t="s">
        <v>1030</v>
      </c>
      <c r="E449" s="1415"/>
      <c r="F449" s="1415"/>
      <c r="G449" s="1415"/>
      <c r="H449" s="1415"/>
      <c r="I449" s="1415"/>
      <c r="J449" s="1415"/>
      <c r="K449" s="1415"/>
      <c r="L449" s="1415"/>
      <c r="M449" s="1415"/>
      <c r="N449" s="1415"/>
      <c r="O449" s="1415"/>
      <c r="P449" s="1415"/>
      <c r="Q449" s="1415"/>
      <c r="R449" s="1415"/>
      <c r="S449" s="1415"/>
      <c r="T449" s="1415"/>
      <c r="U449" s="1415"/>
      <c r="V449" s="1415"/>
      <c r="W449" s="1415"/>
      <c r="X449" s="1415"/>
      <c r="Y449" s="1415"/>
      <c r="Z449" s="1415"/>
      <c r="AA449" s="1415"/>
      <c r="AB449" s="1415"/>
      <c r="AC449" s="1415"/>
      <c r="AD449" s="1415"/>
      <c r="AE449" s="1415"/>
      <c r="AF449" s="1416"/>
      <c r="AG449" s="1332">
        <f>AG448</f>
        <v>153</v>
      </c>
      <c r="AH449" s="1332"/>
      <c r="AI449" s="1332"/>
      <c r="AJ449" s="1332"/>
    </row>
    <row r="450" spans="4:55" ht="12.95" customHeight="1">
      <c r="D450" s="1409" t="s">
        <v>1032</v>
      </c>
      <c r="E450" s="1415"/>
      <c r="F450" s="1415"/>
      <c r="G450" s="1415"/>
      <c r="H450" s="1415"/>
      <c r="I450" s="1415"/>
      <c r="J450" s="1415"/>
      <c r="K450" s="1415"/>
      <c r="L450" s="1415"/>
      <c r="M450" s="1415"/>
      <c r="N450" s="1415"/>
      <c r="O450" s="1415"/>
      <c r="P450" s="1415"/>
      <c r="Q450" s="1415"/>
      <c r="R450" s="1415"/>
      <c r="S450" s="1415"/>
      <c r="T450" s="1415"/>
      <c r="U450" s="1415"/>
      <c r="V450" s="1415"/>
      <c r="W450" s="1415"/>
      <c r="X450" s="1415"/>
      <c r="Y450" s="1415"/>
      <c r="Z450" s="1415"/>
      <c r="AA450" s="1415"/>
      <c r="AB450" s="1415"/>
      <c r="AC450" s="1415"/>
      <c r="AD450" s="1415"/>
      <c r="AE450" s="1415"/>
      <c r="AF450" s="1416"/>
      <c r="AG450" s="1316">
        <f>IF(ISERROR(AG449/AG448),0,AG449/AG448)</f>
        <v>1</v>
      </c>
      <c r="AH450" s="1316"/>
      <c r="AI450" s="1316"/>
      <c r="AJ450" s="1316"/>
    </row>
    <row r="451" spans="4:55" ht="12.95" customHeight="1">
      <c r="D451" s="1409" t="s">
        <v>1031</v>
      </c>
      <c r="E451" s="1415"/>
      <c r="F451" s="1415"/>
      <c r="G451" s="1415"/>
      <c r="H451" s="1415"/>
      <c r="I451" s="1415"/>
      <c r="J451" s="1415"/>
      <c r="K451" s="1415"/>
      <c r="L451" s="1415"/>
      <c r="M451" s="1415"/>
      <c r="N451" s="1415"/>
      <c r="O451" s="1415"/>
      <c r="P451" s="1415"/>
      <c r="Q451" s="1415"/>
      <c r="R451" s="1415"/>
      <c r="S451" s="1415"/>
      <c r="T451" s="1415"/>
      <c r="U451" s="1415"/>
      <c r="V451" s="1415"/>
      <c r="W451" s="1415"/>
      <c r="X451" s="1415"/>
      <c r="Y451" s="1415"/>
      <c r="Z451" s="1415"/>
      <c r="AA451" s="1415"/>
      <c r="AB451" s="1415"/>
      <c r="AC451" s="1415"/>
      <c r="AD451" s="1415"/>
      <c r="AE451" s="1415"/>
      <c r="AF451" s="1416"/>
      <c r="AG451" s="1418">
        <f>114736-745</f>
        <v>113991</v>
      </c>
      <c r="AH451" s="1418"/>
      <c r="AI451" s="1418"/>
      <c r="AJ451" s="1418"/>
    </row>
    <row r="452" spans="4:55" ht="12.95" customHeight="1">
      <c r="D452" s="1409" t="s">
        <v>1033</v>
      </c>
      <c r="E452" s="1415"/>
      <c r="F452" s="1415"/>
      <c r="G452" s="1415"/>
      <c r="H452" s="1415"/>
      <c r="I452" s="1415"/>
      <c r="J452" s="1415"/>
      <c r="K452" s="1415"/>
      <c r="L452" s="1415"/>
      <c r="M452" s="1415"/>
      <c r="N452" s="1415"/>
      <c r="O452" s="1415"/>
      <c r="P452" s="1415"/>
      <c r="Q452" s="1415"/>
      <c r="R452" s="1415"/>
      <c r="S452" s="1415"/>
      <c r="T452" s="1415"/>
      <c r="U452" s="1415"/>
      <c r="V452" s="1415"/>
      <c r="W452" s="1415"/>
      <c r="X452" s="1415"/>
      <c r="Y452" s="1415"/>
      <c r="Z452" s="1415"/>
      <c r="AA452" s="1415"/>
      <c r="AB452" s="1415"/>
      <c r="AC452" s="1415"/>
      <c r="AD452" s="1415"/>
      <c r="AE452" s="1415"/>
      <c r="AF452" s="1416"/>
      <c r="AG452" s="1418">
        <f>AG451</f>
        <v>113991</v>
      </c>
      <c r="AH452" s="1418"/>
      <c r="AI452" s="1418"/>
      <c r="AJ452" s="1418"/>
    </row>
    <row r="453" spans="4:55" ht="12.95" customHeight="1">
      <c r="D453" s="1409" t="s">
        <v>1034</v>
      </c>
      <c r="E453" s="1415"/>
      <c r="F453" s="1415"/>
      <c r="G453" s="1415"/>
      <c r="H453" s="1415"/>
      <c r="I453" s="1415"/>
      <c r="J453" s="1415"/>
      <c r="K453" s="1415"/>
      <c r="L453" s="1415"/>
      <c r="M453" s="1415"/>
      <c r="N453" s="1415"/>
      <c r="O453" s="1415"/>
      <c r="P453" s="1415"/>
      <c r="Q453" s="1415"/>
      <c r="R453" s="1415"/>
      <c r="S453" s="1415"/>
      <c r="T453" s="1415"/>
      <c r="U453" s="1415"/>
      <c r="V453" s="1415"/>
      <c r="W453" s="1415"/>
      <c r="X453" s="1415"/>
      <c r="Y453" s="1415"/>
      <c r="Z453" s="1415"/>
      <c r="AA453" s="1415"/>
      <c r="AB453" s="1415"/>
      <c r="AC453" s="1415"/>
      <c r="AD453" s="1415"/>
      <c r="AE453" s="1415"/>
      <c r="AF453" s="1416"/>
      <c r="AG453" s="1316">
        <f>IF(ISERROR(AG452/AG451),0,AG452/AG451)</f>
        <v>1</v>
      </c>
      <c r="AH453" s="1316"/>
      <c r="AI453" s="1316"/>
      <c r="AJ453" s="1316"/>
    </row>
    <row r="454" spans="4:55" ht="12.95" customHeight="1">
      <c r="D454" s="1409" t="s">
        <v>1035</v>
      </c>
      <c r="E454" s="1415"/>
      <c r="F454" s="1415"/>
      <c r="G454" s="1415"/>
      <c r="H454" s="1415"/>
      <c r="I454" s="1415"/>
      <c r="J454" s="1415"/>
      <c r="K454" s="1415"/>
      <c r="L454" s="1415"/>
      <c r="M454" s="1415"/>
      <c r="N454" s="1415"/>
      <c r="O454" s="1415"/>
      <c r="P454" s="1415"/>
      <c r="Q454" s="1415"/>
      <c r="R454" s="1415"/>
      <c r="S454" s="1415"/>
      <c r="T454" s="1415"/>
      <c r="U454" s="1415"/>
      <c r="V454" s="1415"/>
      <c r="W454" s="1415"/>
      <c r="X454" s="1415"/>
      <c r="Y454" s="1415"/>
      <c r="Z454" s="1415"/>
      <c r="AA454" s="1415"/>
      <c r="AB454" s="1415"/>
      <c r="AC454" s="1415"/>
      <c r="AD454" s="1415"/>
      <c r="AE454" s="1415"/>
      <c r="AF454" s="1416"/>
      <c r="AG454" s="1316">
        <f>MIN(IF(AG450&gt;AG453,AG453,AG450),1)</f>
        <v>1</v>
      </c>
      <c r="AH454" s="1316"/>
      <c r="AI454" s="1316"/>
      <c r="AJ454" s="1316"/>
    </row>
    <row r="455" spans="4:55" ht="12.95" customHeight="1">
      <c r="D455" s="1409" t="s">
        <v>2040</v>
      </c>
      <c r="E455" s="1410"/>
      <c r="F455" s="1410"/>
      <c r="G455" s="1410"/>
      <c r="H455" s="1410"/>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1"/>
      <c r="AG455" s="1418">
        <v>4185</v>
      </c>
      <c r="AH455" s="1418"/>
      <c r="AI455" s="1418"/>
      <c r="AJ455" s="1418"/>
      <c r="AZ455" s="34"/>
      <c r="BA455" s="34"/>
      <c r="BB455" s="34"/>
      <c r="BC455" s="34"/>
    </row>
    <row r="456" spans="4:55" ht="12.95" customHeight="1">
      <c r="D456" s="1414" t="s">
        <v>568</v>
      </c>
      <c r="E456" s="1410"/>
      <c r="F456" s="1410"/>
      <c r="G456" s="1410"/>
      <c r="H456" s="1410"/>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1"/>
      <c r="AG456" s="1418">
        <v>0</v>
      </c>
      <c r="AH456" s="1418"/>
      <c r="AI456" s="1418"/>
      <c r="AJ456" s="1418"/>
      <c r="AZ456" s="3"/>
      <c r="BA456" s="3"/>
      <c r="BB456" s="3"/>
      <c r="BC456" s="3"/>
    </row>
    <row r="457" spans="4:55" ht="12.95" customHeight="1">
      <c r="D457" s="1409" t="s">
        <v>1203</v>
      </c>
      <c r="E457" s="1410"/>
      <c r="F457" s="1410"/>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1"/>
      <c r="AG457" s="1418">
        <f>174105-AG451-AG455-AG458</f>
        <v>29850</v>
      </c>
      <c r="AH457" s="1418"/>
      <c r="AI457" s="1418"/>
      <c r="AJ457" s="1418"/>
      <c r="AZ457" s="3"/>
      <c r="BA457" s="3"/>
      <c r="BB457" s="3"/>
      <c r="BC457" s="3"/>
    </row>
    <row r="458" spans="4:55" ht="12.95" customHeight="1">
      <c r="D458" s="1409" t="s">
        <v>1036</v>
      </c>
      <c r="E458" s="1410"/>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1"/>
      <c r="AG458" s="1418">
        <v>26079</v>
      </c>
      <c r="AH458" s="1418"/>
      <c r="AI458" s="1418"/>
      <c r="AJ458" s="1418"/>
      <c r="BB458" s="3"/>
      <c r="BC458" s="3"/>
    </row>
    <row r="459" spans="4:55" ht="12.95" customHeight="1">
      <c r="D459" s="1504" t="s">
        <v>1037</v>
      </c>
      <c r="E459" s="1505"/>
      <c r="F459" s="1505"/>
      <c r="G459" s="1505"/>
      <c r="H459" s="1505"/>
      <c r="I459" s="1505"/>
      <c r="J459" s="1505"/>
      <c r="K459" s="1505"/>
      <c r="L459" s="1505"/>
      <c r="M459" s="1505"/>
      <c r="N459" s="1505"/>
      <c r="O459" s="1505"/>
      <c r="P459" s="1505"/>
      <c r="Q459" s="1505"/>
      <c r="R459" s="1505"/>
      <c r="S459" s="1505"/>
      <c r="T459" s="1505"/>
      <c r="U459" s="1505"/>
      <c r="V459" s="1505"/>
      <c r="W459" s="1505"/>
      <c r="X459" s="1505"/>
      <c r="Y459" s="1505"/>
      <c r="Z459" s="1505"/>
      <c r="AA459" s="1505"/>
      <c r="AB459" s="1505"/>
      <c r="AC459" s="1505"/>
      <c r="AD459" s="1505"/>
      <c r="AE459" s="1505"/>
      <c r="AF459" s="1506"/>
      <c r="AG459" s="1312">
        <f>AG451+AG455+AG457+AG458</f>
        <v>174105</v>
      </c>
      <c r="AH459" s="1312"/>
      <c r="AI459" s="1312"/>
      <c r="AJ459" s="1312"/>
      <c r="AZ459" s="3"/>
      <c r="BA459" s="3"/>
      <c r="BB459" s="3"/>
      <c r="BC459" s="3"/>
    </row>
    <row r="460" spans="4:55" ht="12.95" customHeight="1">
      <c r="D460" s="1512" t="s">
        <v>1204</v>
      </c>
      <c r="E460" s="1512"/>
      <c r="F460" s="1512"/>
      <c r="G460" s="1512"/>
      <c r="H460" s="1512"/>
      <c r="I460" s="1512"/>
      <c r="J460" s="1512"/>
      <c r="K460" s="1512"/>
      <c r="L460" s="1512"/>
      <c r="M460" s="1512"/>
      <c r="N460" s="1512"/>
      <c r="O460" s="1512"/>
      <c r="P460" s="1512"/>
      <c r="Q460" s="1512"/>
      <c r="R460" s="1512"/>
      <c r="S460" s="1512"/>
      <c r="T460" s="1512"/>
      <c r="U460" s="1512"/>
      <c r="V460" s="1512"/>
      <c r="W460" s="1512"/>
      <c r="X460" s="1512"/>
      <c r="Y460" s="1512"/>
      <c r="Z460" s="1512"/>
      <c r="AA460" s="1512"/>
      <c r="AB460" s="1512"/>
      <c r="AC460" s="1512"/>
      <c r="AD460" s="1512"/>
      <c r="AE460" s="1512"/>
      <c r="AF460" s="1512"/>
      <c r="AG460" s="1512"/>
      <c r="AH460" s="1512"/>
      <c r="AI460" s="1512"/>
      <c r="AJ460" s="1512"/>
      <c r="AZ460" s="3"/>
      <c r="BA460" s="3"/>
      <c r="BB460" s="3"/>
      <c r="BC460" s="3"/>
    </row>
    <row r="461" spans="4:55" ht="12.95" customHeight="1">
      <c r="D461" s="1513"/>
      <c r="E461" s="1513"/>
      <c r="F461" s="1513"/>
      <c r="G461" s="1513"/>
      <c r="H461" s="1513"/>
      <c r="I461" s="1513"/>
      <c r="J461" s="1513"/>
      <c r="K461" s="1513"/>
      <c r="L461" s="1513"/>
      <c r="M461" s="1513"/>
      <c r="N461" s="1513"/>
      <c r="O461" s="1513"/>
      <c r="P461" s="1513"/>
      <c r="Q461" s="1513"/>
      <c r="R461" s="1513"/>
      <c r="S461" s="1513"/>
      <c r="T461" s="1513"/>
      <c r="U461" s="1513"/>
      <c r="V461" s="1513"/>
      <c r="W461" s="1513"/>
      <c r="X461" s="1513"/>
      <c r="Y461" s="1513"/>
      <c r="Z461" s="1513"/>
      <c r="AA461" s="1513"/>
      <c r="AB461" s="1513"/>
      <c r="AC461" s="1513"/>
      <c r="AD461" s="1513"/>
      <c r="AE461" s="1513"/>
      <c r="AF461" s="1513"/>
      <c r="AG461" s="1513"/>
      <c r="AH461" s="1513"/>
      <c r="AI461" s="1513"/>
      <c r="AJ461" s="151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24">
        <f>IF(AG446=0,"",'Sources and Uses Budget'!B105/Application!AG446)</f>
        <v>416163.5324675325</v>
      </c>
      <c r="AD463" s="1324"/>
      <c r="AE463" s="1324"/>
      <c r="AF463" s="1324"/>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24">
        <f>IF(AG446=0,"",'Sources and Uses Budget'!C105/Application!AG446)</f>
        <v>416163.5324675325</v>
      </c>
      <c r="AD464" s="1324"/>
      <c r="AE464" s="1324"/>
      <c r="AF464" s="1324"/>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24">
        <f>IF(AG446=0,"",('Sources and Uses Budget'!$S$107+'Sources and Uses Budget'!$T$107)/Application!AG446)</f>
        <v>361822.32467532466</v>
      </c>
      <c r="AD465" s="1324"/>
      <c r="AE465" s="1324"/>
      <c r="AF465" s="132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1" t="s">
        <v>2052</v>
      </c>
      <c r="E473" s="1314"/>
      <c r="F473" s="1314"/>
      <c r="G473" s="1314"/>
      <c r="H473" s="1314"/>
      <c r="I473" s="1314"/>
      <c r="J473" s="1314"/>
      <c r="K473" s="1314"/>
      <c r="L473" s="1314"/>
      <c r="M473" s="1314"/>
      <c r="N473" s="1314"/>
      <c r="O473" s="1314"/>
      <c r="P473" s="1314"/>
      <c r="Q473" s="1314"/>
      <c r="R473" s="1314"/>
      <c r="S473" s="1314"/>
      <c r="T473" s="1314"/>
      <c r="U473" s="1314"/>
      <c r="V473" s="1315"/>
      <c r="W473" s="1336">
        <v>0</v>
      </c>
      <c r="X473" s="1337"/>
      <c r="Y473" s="133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13" t="s">
        <v>692</v>
      </c>
      <c r="E474" s="1314"/>
      <c r="F474" s="1314"/>
      <c r="G474" s="1314"/>
      <c r="H474" s="1314"/>
      <c r="I474" s="1314"/>
      <c r="J474" s="1314"/>
      <c r="K474" s="1314"/>
      <c r="L474" s="1314"/>
      <c r="M474" s="1314"/>
      <c r="N474" s="1314"/>
      <c r="O474" s="1314"/>
      <c r="P474" s="1314"/>
      <c r="Q474" s="1314"/>
      <c r="R474" s="1314"/>
      <c r="S474" s="1314"/>
      <c r="T474" s="1314"/>
      <c r="U474" s="1314"/>
      <c r="V474" s="1315"/>
      <c r="W474" s="1336">
        <v>0</v>
      </c>
      <c r="X474" s="1337"/>
      <c r="Y474" s="133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13" t="s">
        <v>693</v>
      </c>
      <c r="E475" s="1314"/>
      <c r="F475" s="1314"/>
      <c r="G475" s="1314"/>
      <c r="H475" s="1314"/>
      <c r="I475" s="1314"/>
      <c r="J475" s="1314"/>
      <c r="K475" s="1314"/>
      <c r="L475" s="1314"/>
      <c r="M475" s="1314"/>
      <c r="N475" s="1314"/>
      <c r="O475" s="1314"/>
      <c r="P475" s="1314"/>
      <c r="Q475" s="1314"/>
      <c r="R475" s="1314"/>
      <c r="S475" s="1314"/>
      <c r="T475" s="1314"/>
      <c r="U475" s="1314"/>
      <c r="V475" s="1315"/>
      <c r="W475" s="1336">
        <v>0</v>
      </c>
      <c r="X475" s="1337"/>
      <c r="Y475" s="133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13" t="s">
        <v>694</v>
      </c>
      <c r="E476" s="1314"/>
      <c r="F476" s="1314"/>
      <c r="G476" s="1314"/>
      <c r="H476" s="1314"/>
      <c r="I476" s="1314"/>
      <c r="J476" s="1314"/>
      <c r="K476" s="1314"/>
      <c r="L476" s="1314"/>
      <c r="M476" s="1314"/>
      <c r="N476" s="1314"/>
      <c r="O476" s="1314"/>
      <c r="P476" s="1314"/>
      <c r="Q476" s="1314"/>
      <c r="R476" s="1314"/>
      <c r="S476" s="1314"/>
      <c r="T476" s="1314"/>
      <c r="U476" s="1314"/>
      <c r="V476" s="1315"/>
      <c r="W476" s="1336">
        <v>0</v>
      </c>
      <c r="X476" s="1337"/>
      <c r="Y476" s="133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13" t="s">
        <v>879</v>
      </c>
      <c r="E477" s="1314"/>
      <c r="F477" s="1314"/>
      <c r="G477" s="1314"/>
      <c r="H477" s="1314"/>
      <c r="I477" s="1314"/>
      <c r="J477" s="1314"/>
      <c r="K477" s="1314"/>
      <c r="L477" s="1314"/>
      <c r="M477" s="1314"/>
      <c r="N477" s="1314"/>
      <c r="O477" s="1314"/>
      <c r="P477" s="1314"/>
      <c r="Q477" s="1314"/>
      <c r="R477" s="1314"/>
      <c r="S477" s="1314"/>
      <c r="T477" s="1314"/>
      <c r="U477" s="1314"/>
      <c r="V477" s="1315"/>
      <c r="W477" s="1336">
        <v>0</v>
      </c>
      <c r="X477" s="1337"/>
      <c r="Y477" s="133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13" t="s">
        <v>695</v>
      </c>
      <c r="E478" s="1314"/>
      <c r="F478" s="1314"/>
      <c r="G478" s="1314"/>
      <c r="H478" s="1314"/>
      <c r="I478" s="1314"/>
      <c r="J478" s="1314"/>
      <c r="K478" s="1314"/>
      <c r="L478" s="1314"/>
      <c r="M478" s="1314"/>
      <c r="N478" s="1314"/>
      <c r="O478" s="1314"/>
      <c r="P478" s="1314"/>
      <c r="Q478" s="1314"/>
      <c r="R478" s="1314"/>
      <c r="S478" s="1314"/>
      <c r="T478" s="1314"/>
      <c r="U478" s="1314"/>
      <c r="V478" s="1315"/>
      <c r="W478" s="1336">
        <v>0</v>
      </c>
      <c r="X478" s="1337"/>
      <c r="Y478" s="133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13" t="s">
        <v>1010</v>
      </c>
      <c r="E479" s="1314"/>
      <c r="F479" s="1314"/>
      <c r="G479" s="1314"/>
      <c r="H479" s="1314"/>
      <c r="I479" s="1314"/>
      <c r="J479" s="1314"/>
      <c r="K479" s="1314"/>
      <c r="L479" s="1314"/>
      <c r="M479" s="1314"/>
      <c r="N479" s="1314"/>
      <c r="O479" s="1314"/>
      <c r="P479" s="1314"/>
      <c r="Q479" s="1314"/>
      <c r="R479" s="1314"/>
      <c r="S479" s="1314"/>
      <c r="T479" s="1314"/>
      <c r="U479" s="1314"/>
      <c r="V479" s="1315"/>
      <c r="W479" s="1336">
        <v>0</v>
      </c>
      <c r="X479" s="1337"/>
      <c r="Y479" s="133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1" t="s">
        <v>2142</v>
      </c>
      <c r="E480" s="1339"/>
      <c r="F480" s="1339"/>
      <c r="G480" s="1339"/>
      <c r="H480" s="1339"/>
      <c r="I480" s="1339"/>
      <c r="J480" s="1339"/>
      <c r="K480" s="1339"/>
      <c r="L480" s="1339"/>
      <c r="M480" s="1339"/>
      <c r="N480" s="1339"/>
      <c r="O480" s="1339"/>
      <c r="P480" s="1339"/>
      <c r="Q480" s="1339"/>
      <c r="R480" s="1339"/>
      <c r="S480" s="1339"/>
      <c r="T480" s="1339"/>
      <c r="U480" s="1339"/>
      <c r="V480" s="1340"/>
      <c r="W480" s="1336">
        <v>0</v>
      </c>
      <c r="X480" s="1337"/>
      <c r="Y480" s="133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1" t="s">
        <v>1641</v>
      </c>
      <c r="E481" s="1314"/>
      <c r="F481" s="1314"/>
      <c r="G481" s="1314"/>
      <c r="H481" s="1314"/>
      <c r="I481" s="1314"/>
      <c r="J481" s="1314"/>
      <c r="K481" s="1314"/>
      <c r="L481" s="1314"/>
      <c r="M481" s="1314"/>
      <c r="N481" s="1314"/>
      <c r="O481" s="1314"/>
      <c r="P481" s="1314"/>
      <c r="Q481" s="1314"/>
      <c r="R481" s="1314"/>
      <c r="S481" s="1314"/>
      <c r="T481" s="1314"/>
      <c r="U481" s="1314"/>
      <c r="V481" s="1315"/>
      <c r="W481" s="1336">
        <f>25+17</f>
        <v>42</v>
      </c>
      <c r="X481" s="1337"/>
      <c r="Y481" s="133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6"/>
      <c r="H482" s="1767"/>
      <c r="I482" s="1767"/>
      <c r="J482" s="1767"/>
      <c r="K482" s="1767"/>
      <c r="L482" s="1767"/>
      <c r="M482" s="1767"/>
      <c r="N482" s="1767"/>
      <c r="O482" s="1767"/>
      <c r="P482" s="1767"/>
      <c r="Q482" s="1767"/>
      <c r="R482" s="1767"/>
      <c r="S482" s="1767"/>
      <c r="T482" s="1767"/>
      <c r="U482" s="1767"/>
      <c r="V482" s="1768"/>
      <c r="W482" s="1336">
        <v>0</v>
      </c>
      <c r="X482" s="1337"/>
      <c r="Y482" s="133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67" t="s">
        <v>809</v>
      </c>
      <c r="B488" s="1467"/>
      <c r="C488" s="1467"/>
      <c r="D488" s="1467"/>
      <c r="E488" s="1467"/>
      <c r="F488" s="1467"/>
      <c r="G488" s="1467"/>
      <c r="H488" s="1467"/>
      <c r="I488" s="1467"/>
      <c r="J488" s="1467"/>
      <c r="K488" s="1467"/>
      <c r="L488" s="1467"/>
      <c r="M488" s="1467"/>
      <c r="N488" s="1467"/>
      <c r="O488" s="1467"/>
      <c r="P488" s="1467"/>
      <c r="Q488" s="1467"/>
      <c r="R488" s="1467"/>
      <c r="S488" s="1467"/>
      <c r="T488" s="1467"/>
      <c r="U488" s="1467"/>
      <c r="V488" s="1467"/>
      <c r="W488" s="1467"/>
      <c r="X488" s="1467"/>
      <c r="Y488" s="1467"/>
      <c r="Z488" s="1467"/>
      <c r="AA488" s="1467"/>
      <c r="AB488" s="1467"/>
      <c r="AC488" s="1467"/>
      <c r="AD488" s="1467"/>
      <c r="AE488" s="1467"/>
      <c r="AF488" s="1467"/>
      <c r="AG488" s="1467"/>
      <c r="AH488" s="1467"/>
      <c r="AI488" s="1467"/>
      <c r="AJ488" s="1467"/>
      <c r="AK488" s="1467"/>
      <c r="AL488" s="1467"/>
      <c r="AM488" s="1467"/>
      <c r="AN488" s="1467"/>
      <c r="AO488" s="1467"/>
      <c r="AP488" s="1467"/>
      <c r="AQ488" s="1467"/>
      <c r="AR488" s="1467"/>
      <c r="AS488" s="1467"/>
      <c r="AT488" s="1467"/>
      <c r="AU488" s="95"/>
      <c r="AV488" s="95"/>
      <c r="AW488" s="95"/>
      <c r="AX488" s="95"/>
      <c r="AY488" s="95"/>
      <c r="AZ488" s="3"/>
      <c r="BB488" s="3"/>
      <c r="BC488" s="3"/>
    </row>
    <row r="489" spans="1:55" ht="12.95" customHeight="1">
      <c r="A489" s="1467"/>
      <c r="B489" s="1467"/>
      <c r="C489" s="1467"/>
      <c r="D489" s="1467"/>
      <c r="E489" s="1467"/>
      <c r="F489" s="1467"/>
      <c r="G489" s="1467"/>
      <c r="H489" s="1467"/>
      <c r="I489" s="1467"/>
      <c r="J489" s="1467"/>
      <c r="K489" s="1467"/>
      <c r="L489" s="1467"/>
      <c r="M489" s="1467"/>
      <c r="N489" s="1467"/>
      <c r="O489" s="1467"/>
      <c r="P489" s="1467"/>
      <c r="Q489" s="1467"/>
      <c r="R489" s="1467"/>
      <c r="S489" s="1467"/>
      <c r="T489" s="1467"/>
      <c r="U489" s="1467"/>
      <c r="V489" s="1467"/>
      <c r="W489" s="1467"/>
      <c r="X489" s="1467"/>
      <c r="Y489" s="1467"/>
      <c r="Z489" s="1467"/>
      <c r="AA489" s="1467"/>
      <c r="AB489" s="1467"/>
      <c r="AC489" s="1467"/>
      <c r="AD489" s="1467"/>
      <c r="AE489" s="1467"/>
      <c r="AF489" s="1467"/>
      <c r="AG489" s="1467"/>
      <c r="AH489" s="1467"/>
      <c r="AI489" s="1467"/>
      <c r="AJ489" s="1467"/>
      <c r="AK489" s="1467"/>
      <c r="AL489" s="1467"/>
      <c r="AM489" s="1467"/>
      <c r="AN489" s="1467"/>
      <c r="AO489" s="1467"/>
      <c r="AP489" s="1467"/>
      <c r="AQ489" s="1467"/>
      <c r="AR489" s="1467"/>
      <c r="AS489" s="1467"/>
      <c r="AT489" s="1467"/>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33" t="s">
        <v>393</v>
      </c>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335"/>
      <c r="AZ493" s="3"/>
      <c r="BB493" s="3"/>
      <c r="BC493" s="3"/>
    </row>
    <row r="494" spans="1:55" ht="12.95" customHeight="1">
      <c r="B494" s="45" t="s">
        <v>394</v>
      </c>
      <c r="C494" s="5"/>
      <c r="D494" s="5"/>
      <c r="E494" s="5"/>
      <c r="F494" s="5"/>
      <c r="G494" s="5"/>
      <c r="H494" s="5"/>
      <c r="I494" s="5"/>
      <c r="J494" s="5"/>
      <c r="K494" s="5"/>
      <c r="L494" s="5"/>
      <c r="M494" s="5"/>
      <c r="N494" s="5"/>
      <c r="O494" s="5"/>
      <c r="P494" s="5"/>
      <c r="Q494" s="1321" t="s">
        <v>2782</v>
      </c>
      <c r="R494" s="1322"/>
      <c r="S494" s="1322"/>
      <c r="T494" s="1322"/>
      <c r="U494" s="1322"/>
      <c r="V494" s="1322"/>
      <c r="W494" s="1322"/>
      <c r="X494" s="1322"/>
      <c r="Y494" s="1322"/>
      <c r="Z494" s="1322"/>
      <c r="AA494" s="1322"/>
      <c r="AB494" s="1322"/>
      <c r="AC494" s="1322"/>
      <c r="AD494" s="1322"/>
      <c r="AE494" s="1322"/>
      <c r="AF494" s="1322"/>
      <c r="AG494" s="1322"/>
      <c r="AH494" s="1322"/>
      <c r="AI494" s="1322"/>
      <c r="AJ494" s="1322"/>
      <c r="AK494" s="1323"/>
      <c r="AZ494" s="3"/>
      <c r="BB494" s="3"/>
      <c r="BC494" s="3"/>
    </row>
    <row r="495" spans="1:55" ht="12.95" customHeight="1">
      <c r="B495" s="45" t="s">
        <v>395</v>
      </c>
      <c r="C495" s="5"/>
      <c r="D495" s="5"/>
      <c r="E495" s="5"/>
      <c r="F495" s="5"/>
      <c r="G495" s="5"/>
      <c r="H495" s="5"/>
      <c r="I495" s="5"/>
      <c r="J495" s="5"/>
      <c r="K495" s="5"/>
      <c r="L495" s="5"/>
      <c r="M495" s="5"/>
      <c r="N495" s="5"/>
      <c r="O495" s="5"/>
      <c r="P495" s="5"/>
      <c r="Q495" s="1321" t="s">
        <v>2783</v>
      </c>
      <c r="R495" s="1322"/>
      <c r="S495" s="1322"/>
      <c r="T495" s="1322"/>
      <c r="U495" s="1322"/>
      <c r="V495" s="1322"/>
      <c r="W495" s="1322"/>
      <c r="X495" s="1322"/>
      <c r="Y495" s="1322"/>
      <c r="Z495" s="1322"/>
      <c r="AA495" s="1322"/>
      <c r="AB495" s="1322"/>
      <c r="AC495" s="1322"/>
      <c r="AD495" s="1322"/>
      <c r="AE495" s="1322"/>
      <c r="AF495" s="1322"/>
      <c r="AG495" s="1322"/>
      <c r="AH495" s="1322"/>
      <c r="AI495" s="1322"/>
      <c r="AJ495" s="1322"/>
      <c r="AK495" s="1323"/>
      <c r="AZ495" s="3"/>
      <c r="BB495" s="3"/>
      <c r="BC495" s="3"/>
    </row>
    <row r="496" spans="1:55" ht="12.95" customHeight="1">
      <c r="B496" s="45" t="s">
        <v>396</v>
      </c>
      <c r="C496" s="5"/>
      <c r="D496" s="5"/>
      <c r="E496" s="5"/>
      <c r="F496" s="5"/>
      <c r="G496" s="5"/>
      <c r="H496" s="5"/>
      <c r="I496" s="5"/>
      <c r="J496" s="5"/>
      <c r="K496" s="5"/>
      <c r="L496" s="5"/>
      <c r="M496" s="5"/>
      <c r="N496" s="5"/>
      <c r="O496" s="5"/>
      <c r="P496" s="5"/>
      <c r="Q496" s="1321" t="s">
        <v>2783</v>
      </c>
      <c r="R496" s="1322"/>
      <c r="S496" s="1322"/>
      <c r="T496" s="1322"/>
      <c r="U496" s="1322"/>
      <c r="V496" s="1322"/>
      <c r="W496" s="1322"/>
      <c r="X496" s="1322"/>
      <c r="Y496" s="1322"/>
      <c r="Z496" s="1322"/>
      <c r="AA496" s="1322"/>
      <c r="AB496" s="1322"/>
      <c r="AC496" s="1322"/>
      <c r="AD496" s="1322"/>
      <c r="AE496" s="1322"/>
      <c r="AF496" s="1322"/>
      <c r="AG496" s="1322"/>
      <c r="AH496" s="1322"/>
      <c r="AI496" s="1322"/>
      <c r="AJ496" s="1322"/>
      <c r="AK496" s="1323"/>
      <c r="AZ496" s="3"/>
      <c r="BA496" s="3"/>
      <c r="BB496" s="3"/>
      <c r="BC496" s="3"/>
    </row>
    <row r="497" spans="1:66" ht="12.95" customHeight="1">
      <c r="B497" s="1419" t="s">
        <v>397</v>
      </c>
      <c r="C497" s="1420"/>
      <c r="D497" s="1420"/>
      <c r="E497" s="1420"/>
      <c r="F497" s="1420"/>
      <c r="G497" s="1420"/>
      <c r="H497" s="1420"/>
      <c r="I497" s="1420"/>
      <c r="J497" s="1420"/>
      <c r="K497" s="1420"/>
      <c r="L497" s="1420"/>
      <c r="M497" s="1420"/>
      <c r="N497" s="1420"/>
      <c r="O497" s="1420"/>
      <c r="P497" s="1421"/>
      <c r="Q497" s="1425" t="s">
        <v>668</v>
      </c>
      <c r="R497" s="1426"/>
      <c r="S497" s="1514" t="s">
        <v>166</v>
      </c>
      <c r="T497" s="1515"/>
      <c r="U497" s="1515"/>
      <c r="V497" s="1515"/>
      <c r="W497" s="1515"/>
      <c r="X497" s="1515"/>
      <c r="Y497" s="1515"/>
      <c r="Z497" s="1515"/>
      <c r="AA497" s="1515"/>
      <c r="AB497" s="1515"/>
      <c r="AC497" s="1515"/>
      <c r="AD497" s="1515"/>
      <c r="AE497" s="1515"/>
      <c r="AF497" s="1515"/>
      <c r="AG497" s="1515"/>
      <c r="AH497" s="1515"/>
      <c r="AI497" s="1515"/>
      <c r="AJ497" s="1515"/>
      <c r="AK497" s="1516"/>
      <c r="AZ497" s="3"/>
      <c r="BA497" s="3"/>
      <c r="BB497" s="3"/>
      <c r="BC497" s="3"/>
    </row>
    <row r="498" spans="1:66" ht="12.95" customHeight="1">
      <c r="B498" s="1422"/>
      <c r="C498" s="1423"/>
      <c r="D498" s="1423"/>
      <c r="E498" s="1423"/>
      <c r="F498" s="1423"/>
      <c r="G498" s="1423"/>
      <c r="H498" s="1423"/>
      <c r="I498" s="1423"/>
      <c r="J498" s="1423"/>
      <c r="K498" s="1423"/>
      <c r="L498" s="1423"/>
      <c r="M498" s="1423"/>
      <c r="N498" s="1423"/>
      <c r="O498" s="1423"/>
      <c r="P498" s="1424"/>
      <c r="Q498" s="1427"/>
      <c r="R498" s="1428"/>
      <c r="S498" s="1517"/>
      <c r="T498" s="1456"/>
      <c r="U498" s="1456"/>
      <c r="V498" s="1456"/>
      <c r="W498" s="1456"/>
      <c r="X498" s="1456"/>
      <c r="Y498" s="1456"/>
      <c r="Z498" s="1456"/>
      <c r="AA498" s="1456"/>
      <c r="AB498" s="1456"/>
      <c r="AC498" s="1456"/>
      <c r="AD498" s="1456"/>
      <c r="AE498" s="1456"/>
      <c r="AF498" s="1456"/>
      <c r="AG498" s="1456"/>
      <c r="AH498" s="1456"/>
      <c r="AI498" s="1456"/>
      <c r="AJ498" s="1456"/>
      <c r="AK498" s="151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325" t="s">
        <v>590</v>
      </c>
      <c r="R499" s="1326"/>
      <c r="S499" s="1326"/>
      <c r="T499" s="1326"/>
      <c r="U499" s="1326"/>
      <c r="V499" s="1326"/>
      <c r="W499" s="1326"/>
      <c r="X499" s="1326"/>
      <c r="Y499" s="1326"/>
      <c r="Z499" s="1326"/>
      <c r="AA499" s="1326"/>
      <c r="AB499" s="1326"/>
      <c r="AC499" s="1326"/>
      <c r="AD499" s="1326"/>
      <c r="AE499" s="1326"/>
      <c r="AF499" s="1326"/>
      <c r="AG499" s="1326"/>
      <c r="AH499" s="1326"/>
      <c r="AI499" s="1326"/>
      <c r="AJ499" s="1326"/>
      <c r="AK499" s="1327"/>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21" t="s">
        <v>2784</v>
      </c>
      <c r="R500" s="1322"/>
      <c r="S500" s="1322"/>
      <c r="T500" s="1322"/>
      <c r="U500" s="1322"/>
      <c r="V500" s="1322"/>
      <c r="W500" s="1322"/>
      <c r="X500" s="1322"/>
      <c r="Y500" s="1322"/>
      <c r="Z500" s="1322"/>
      <c r="AA500" s="1322"/>
      <c r="AB500" s="1322"/>
      <c r="AC500" s="1322"/>
      <c r="AD500" s="1322"/>
      <c r="AE500" s="1322"/>
      <c r="AF500" s="1322"/>
      <c r="AG500" s="1322"/>
      <c r="AH500" s="1322"/>
      <c r="AI500" s="1322"/>
      <c r="AJ500" s="1322"/>
      <c r="AK500" s="132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21">
        <v>0</v>
      </c>
      <c r="R501" s="1322"/>
      <c r="S501" s="1322"/>
      <c r="T501" s="1322"/>
      <c r="U501" s="1322"/>
      <c r="V501" s="1322"/>
      <c r="W501" s="1322"/>
      <c r="X501" s="1322"/>
      <c r="Y501" s="1322"/>
      <c r="Z501" s="1322"/>
      <c r="AA501" s="1322"/>
      <c r="AB501" s="1322"/>
      <c r="AC501" s="1322"/>
      <c r="AD501" s="1322"/>
      <c r="AE501" s="1322"/>
      <c r="AF501" s="1322"/>
      <c r="AG501" s="1322"/>
      <c r="AH501" s="1322"/>
      <c r="AI501" s="1322"/>
      <c r="AJ501" s="1322"/>
      <c r="AK501" s="1323"/>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321">
        <v>77</v>
      </c>
      <c r="R502" s="1322"/>
      <c r="S502" s="1322"/>
      <c r="T502" s="1322"/>
      <c r="U502" s="1322"/>
      <c r="V502" s="1322"/>
      <c r="W502" s="1322"/>
      <c r="X502" s="1322"/>
      <c r="Y502" s="1322"/>
      <c r="Z502" s="1322"/>
      <c r="AA502" s="1322"/>
      <c r="AB502" s="1322"/>
      <c r="AC502" s="1322"/>
      <c r="AD502" s="1322"/>
      <c r="AE502" s="1322"/>
      <c r="AF502" s="1322"/>
      <c r="AG502" s="1322"/>
      <c r="AH502" s="1322"/>
      <c r="AI502" s="1322"/>
      <c r="AJ502" s="1322"/>
      <c r="AK502" s="1323"/>
      <c r="AZ502" s="3"/>
      <c r="BA502" s="3"/>
      <c r="BB502" s="3"/>
      <c r="BC502" s="3"/>
    </row>
    <row r="503" spans="1:66" ht="12.95" customHeight="1">
      <c r="B503" s="121" t="s">
        <v>1656</v>
      </c>
      <c r="C503" s="5"/>
      <c r="D503" s="5"/>
      <c r="E503" s="5"/>
      <c r="F503" s="5"/>
      <c r="G503" s="5"/>
      <c r="H503" s="5"/>
      <c r="I503" s="5"/>
      <c r="J503" s="5"/>
      <c r="K503" s="5"/>
      <c r="L503" s="5"/>
      <c r="M503" s="1328">
        <v>77</v>
      </c>
      <c r="N503" s="1329"/>
      <c r="O503" s="1329"/>
      <c r="P503" s="1330"/>
      <c r="Q503" s="121" t="s">
        <v>1657</v>
      </c>
      <c r="R503" s="5"/>
      <c r="S503" s="5"/>
      <c r="T503" s="5"/>
      <c r="U503" s="5"/>
      <c r="V503" s="5"/>
      <c r="W503" s="5"/>
      <c r="X503" s="5"/>
      <c r="Y503" s="5"/>
      <c r="Z503" s="5"/>
      <c r="AA503" s="5"/>
      <c r="AB503" s="5"/>
      <c r="AC503" s="5"/>
      <c r="AD503" s="5"/>
      <c r="AE503" s="5"/>
      <c r="AF503" s="5"/>
      <c r="AG503" s="5"/>
      <c r="AH503" s="1328"/>
      <c r="AI503" s="1329"/>
      <c r="AJ503" s="1329"/>
      <c r="AK503" s="133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33" t="s">
        <v>401</v>
      </c>
      <c r="AD507" s="1334"/>
      <c r="AE507" s="1334"/>
      <c r="AF507" s="1334"/>
      <c r="AG507" s="1334"/>
      <c r="AH507" s="1334"/>
      <c r="AI507" s="1334"/>
      <c r="AJ507" s="1334"/>
      <c r="AK507" s="133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33" t="s">
        <v>402</v>
      </c>
      <c r="AD508" s="1334"/>
      <c r="AE508" s="1334"/>
      <c r="AF508" s="1334"/>
      <c r="AG508" s="50" t="s">
        <v>403</v>
      </c>
      <c r="AH508" s="1334" t="s">
        <v>404</v>
      </c>
      <c r="AI508" s="1334"/>
      <c r="AJ508" s="1334"/>
      <c r="AK508" s="1335"/>
      <c r="AZ508" s="3"/>
      <c r="BA508" s="3"/>
      <c r="BB508" s="3"/>
      <c r="BC508" s="3"/>
      <c r="BD508" s="3"/>
      <c r="BE508" s="3"/>
      <c r="BF508" s="3"/>
      <c r="BG508" s="3"/>
      <c r="BH508" s="3"/>
      <c r="BI508" s="3"/>
      <c r="BJ508" s="3"/>
      <c r="BK508" s="3"/>
      <c r="BL508" s="3"/>
      <c r="BM508" s="3"/>
      <c r="BN508" s="3"/>
    </row>
    <row r="509" spans="1:66" ht="12.95" customHeight="1">
      <c r="B509" s="1341" t="s">
        <v>405</v>
      </c>
      <c r="C509" s="1342"/>
      <c r="D509" s="1342"/>
      <c r="E509" s="1342"/>
      <c r="F509" s="1342"/>
      <c r="G509" s="1342"/>
      <c r="H509" s="1343"/>
      <c r="I509" s="42" t="s">
        <v>406</v>
      </c>
      <c r="J509" s="42"/>
      <c r="K509" s="42"/>
      <c r="L509" s="42"/>
      <c r="M509" s="42"/>
      <c r="N509" s="42"/>
      <c r="O509" s="42"/>
      <c r="P509" s="42"/>
      <c r="Q509" s="42"/>
      <c r="R509" s="42"/>
      <c r="S509" s="42"/>
      <c r="T509" s="42"/>
      <c r="U509" s="42"/>
      <c r="V509" s="42"/>
      <c r="W509" s="42"/>
      <c r="AC509" s="1317" t="s">
        <v>590</v>
      </c>
      <c r="AD509" s="1301"/>
      <c r="AE509" s="1301"/>
      <c r="AF509" s="1301"/>
      <c r="AG509" s="13" t="s">
        <v>403</v>
      </c>
      <c r="AH509" s="1319">
        <v>0</v>
      </c>
      <c r="AI509" s="1319"/>
      <c r="AJ509" s="1319"/>
      <c r="AK509" s="1320"/>
      <c r="AZ509" s="3"/>
      <c r="BA509" s="3"/>
      <c r="BB509" s="3"/>
      <c r="BC509" s="3"/>
      <c r="BD509" s="3"/>
      <c r="BE509" s="3"/>
      <c r="BF509" s="3"/>
      <c r="BG509" s="3"/>
      <c r="BH509" s="3"/>
      <c r="BI509" s="3"/>
      <c r="BJ509" s="3"/>
      <c r="BK509" s="3"/>
      <c r="BL509" s="3"/>
      <c r="BM509" s="3"/>
      <c r="BN509" s="3"/>
    </row>
    <row r="510" spans="1:66" ht="12.95" customHeight="1">
      <c r="B510" s="1344"/>
      <c r="C510" s="1345"/>
      <c r="D510" s="1345"/>
      <c r="E510" s="1345"/>
      <c r="F510" s="1345"/>
      <c r="G510" s="1345"/>
      <c r="H510" s="1346"/>
      <c r="I510" s="48" t="s">
        <v>407</v>
      </c>
      <c r="J510" s="48"/>
      <c r="K510" s="48"/>
      <c r="L510" s="48"/>
      <c r="M510" s="48"/>
      <c r="N510" s="48"/>
      <c r="O510" s="48"/>
      <c r="P510" s="48"/>
      <c r="Q510" s="48"/>
      <c r="R510" s="48"/>
      <c r="S510" s="48"/>
      <c r="T510" s="48"/>
      <c r="U510" s="48"/>
      <c r="V510" s="48"/>
      <c r="W510" s="48"/>
      <c r="X510" s="48"/>
      <c r="Y510" s="48"/>
      <c r="Z510" s="48"/>
      <c r="AA510" s="48"/>
      <c r="AB510" s="48"/>
      <c r="AC510" s="1317">
        <v>9</v>
      </c>
      <c r="AD510" s="1301"/>
      <c r="AE510" s="1301"/>
      <c r="AF510" s="1301"/>
      <c r="AG510" s="38" t="s">
        <v>403</v>
      </c>
      <c r="AH510" s="1319">
        <v>2026</v>
      </c>
      <c r="AI510" s="1319"/>
      <c r="AJ510" s="1319"/>
      <c r="AK510" s="1320"/>
      <c r="AZ510" s="3"/>
      <c r="BA510" s="3"/>
      <c r="BB510" s="3"/>
      <c r="BC510" s="3"/>
      <c r="BD510" s="3"/>
      <c r="BE510" s="3"/>
      <c r="BF510" s="3"/>
      <c r="BG510" s="3"/>
      <c r="BH510" s="3"/>
      <c r="BI510" s="3"/>
      <c r="BJ510" s="3"/>
      <c r="BK510" s="3"/>
      <c r="BL510" s="3"/>
      <c r="BM510" s="3"/>
      <c r="BN510" s="3"/>
    </row>
    <row r="511" spans="1:66" ht="12.95" customHeight="1">
      <c r="B511" s="1341" t="s">
        <v>408</v>
      </c>
      <c r="C511" s="1342"/>
      <c r="D511" s="1342"/>
      <c r="E511" s="1342"/>
      <c r="F511" s="1342"/>
      <c r="G511" s="1342"/>
      <c r="H511" s="1343"/>
      <c r="I511" s="42" t="s">
        <v>409</v>
      </c>
      <c r="J511" s="42"/>
      <c r="K511" s="42"/>
      <c r="L511" s="42"/>
      <c r="M511" s="42"/>
      <c r="N511" s="42"/>
      <c r="O511" s="42"/>
      <c r="P511" s="42"/>
      <c r="Q511" s="42"/>
      <c r="R511" s="42"/>
      <c r="S511" s="42"/>
      <c r="T511" s="42"/>
      <c r="U511" s="42"/>
      <c r="V511" s="42"/>
      <c r="W511" s="42"/>
      <c r="AC511" s="1317" t="s">
        <v>590</v>
      </c>
      <c r="AD511" s="1301"/>
      <c r="AE511" s="1301"/>
      <c r="AF511" s="1301"/>
      <c r="AG511" s="13" t="s">
        <v>403</v>
      </c>
      <c r="AH511" s="1319"/>
      <c r="AI511" s="1319"/>
      <c r="AJ511" s="1319"/>
      <c r="AK511" s="1320"/>
      <c r="AZ511" s="3"/>
      <c r="BA511" s="3"/>
      <c r="BB511" s="3"/>
      <c r="BC511" s="3"/>
      <c r="BD511" s="3"/>
      <c r="BE511" s="3"/>
      <c r="BF511" s="3"/>
      <c r="BG511" s="3"/>
      <c r="BH511" s="3"/>
      <c r="BI511" s="3"/>
      <c r="BJ511" s="3"/>
      <c r="BK511" s="3"/>
      <c r="BL511" s="3"/>
      <c r="BM511" s="3"/>
      <c r="BN511" s="3"/>
    </row>
    <row r="512" spans="1:66" ht="12.95" customHeight="1">
      <c r="B512" s="1344"/>
      <c r="C512" s="1345"/>
      <c r="D512" s="1345"/>
      <c r="E512" s="1345"/>
      <c r="F512" s="1345"/>
      <c r="G512" s="1345"/>
      <c r="H512" s="1346"/>
      <c r="I512" t="s">
        <v>410</v>
      </c>
      <c r="AC512" s="1317" t="s">
        <v>590</v>
      </c>
      <c r="AD512" s="1301"/>
      <c r="AE512" s="1301"/>
      <c r="AF512" s="1301"/>
      <c r="AG512" s="13" t="s">
        <v>403</v>
      </c>
      <c r="AH512" s="1319"/>
      <c r="AI512" s="1319"/>
      <c r="AJ512" s="1319"/>
      <c r="AK512" s="1320"/>
      <c r="AZ512" s="3"/>
      <c r="BA512" s="3"/>
      <c r="BB512" s="3"/>
      <c r="BC512" s="3"/>
      <c r="BD512" s="3"/>
      <c r="BE512" s="3"/>
      <c r="BF512" s="3"/>
      <c r="BG512" s="3"/>
      <c r="BH512" s="3"/>
      <c r="BI512" s="3"/>
      <c r="BJ512" s="3"/>
      <c r="BK512" s="3"/>
      <c r="BL512" s="3"/>
      <c r="BM512" s="3"/>
      <c r="BN512" s="3"/>
    </row>
    <row r="513" spans="2:66" ht="12.95" customHeight="1">
      <c r="B513" s="1344"/>
      <c r="C513" s="1345"/>
      <c r="D513" s="1345"/>
      <c r="E513" s="1345"/>
      <c r="F513" s="1345"/>
      <c r="G513" s="1345"/>
      <c r="H513" s="1346"/>
      <c r="I513" t="s">
        <v>411</v>
      </c>
      <c r="AC513" s="1317">
        <v>1</v>
      </c>
      <c r="AD513" s="1301"/>
      <c r="AE513" s="1301"/>
      <c r="AF513" s="1301"/>
      <c r="AG513" s="13" t="s">
        <v>403</v>
      </c>
      <c r="AH513" s="1319">
        <v>2027</v>
      </c>
      <c r="AI513" s="1319"/>
      <c r="AJ513" s="1319"/>
      <c r="AK513" s="1320"/>
      <c r="AZ513" s="3"/>
      <c r="BA513" s="3"/>
      <c r="BB513" s="3"/>
      <c r="BC513" s="3"/>
      <c r="BD513" s="3"/>
      <c r="BE513" s="3"/>
      <c r="BF513" s="3"/>
      <c r="BG513" s="3"/>
      <c r="BH513" s="3"/>
      <c r="BI513" s="3"/>
      <c r="BJ513" s="3"/>
      <c r="BK513" s="3"/>
      <c r="BL513" s="3"/>
      <c r="BM513" s="3"/>
      <c r="BN513" s="3"/>
    </row>
    <row r="514" spans="2:66" ht="12.95" customHeight="1">
      <c r="B514" s="1344"/>
      <c r="C514" s="1345"/>
      <c r="D514" s="1345"/>
      <c r="E514" s="1345"/>
      <c r="F514" s="1345"/>
      <c r="G514" s="1345"/>
      <c r="H514" s="1346"/>
      <c r="I514" t="s">
        <v>412</v>
      </c>
      <c r="AC514" s="1317">
        <v>1</v>
      </c>
      <c r="AD514" s="1301"/>
      <c r="AE514" s="1301"/>
      <c r="AF514" s="1301"/>
      <c r="AG514" s="13" t="s">
        <v>403</v>
      </c>
      <c r="AH514" s="1319">
        <v>2027</v>
      </c>
      <c r="AI514" s="1319"/>
      <c r="AJ514" s="1319"/>
      <c r="AK514" s="1320"/>
      <c r="AZ514" s="3"/>
      <c r="BA514" s="3"/>
      <c r="BB514" s="3"/>
      <c r="BC514" s="3"/>
      <c r="BD514" s="3"/>
      <c r="BE514" s="3"/>
      <c r="BF514" s="3"/>
      <c r="BG514" s="3"/>
      <c r="BH514" s="3"/>
      <c r="BI514" s="3"/>
      <c r="BJ514" s="3"/>
      <c r="BK514" s="3"/>
      <c r="BL514" s="3"/>
      <c r="BM514" s="3"/>
      <c r="BN514" s="3"/>
    </row>
    <row r="515" spans="2:66" ht="12.95" customHeight="1">
      <c r="B515" s="1344"/>
      <c r="C515" s="1345"/>
      <c r="D515" s="1345"/>
      <c r="E515" s="1345"/>
      <c r="F515" s="1345"/>
      <c r="G515" s="1345"/>
      <c r="H515" s="1346"/>
      <c r="I515" s="3" t="s">
        <v>413</v>
      </c>
      <c r="AC515" s="1289">
        <v>1</v>
      </c>
      <c r="AD515" s="1290"/>
      <c r="AE515" s="1290"/>
      <c r="AF515" s="1290"/>
      <c r="AG515" s="13" t="s">
        <v>403</v>
      </c>
      <c r="AH515" s="1319">
        <v>2027</v>
      </c>
      <c r="AI515" s="1319"/>
      <c r="AJ515" s="1319"/>
      <c r="AK515" s="1320"/>
      <c r="AZ515" s="3"/>
      <c r="BA515" s="3"/>
      <c r="BB515" s="3"/>
      <c r="BC515" s="3"/>
      <c r="BD515" s="3"/>
      <c r="BE515" s="3"/>
      <c r="BF515" s="3"/>
      <c r="BG515" s="3"/>
      <c r="BH515" s="3"/>
      <c r="BI515" s="3"/>
      <c r="BJ515" s="3"/>
      <c r="BK515" s="3"/>
      <c r="BL515" s="3"/>
      <c r="BM515" s="3"/>
      <c r="BN515" s="3"/>
    </row>
    <row r="516" spans="2:66" ht="12.95" customHeight="1">
      <c r="B516" s="1344"/>
      <c r="C516" s="1345"/>
      <c r="D516" s="1345"/>
      <c r="E516" s="1345"/>
      <c r="F516" s="1345"/>
      <c r="G516" s="1345"/>
      <c r="H516" s="1346"/>
      <c r="I516" s="892" t="s">
        <v>170</v>
      </c>
      <c r="J516" s="48"/>
      <c r="K516" s="48"/>
      <c r="L516" s="1352" t="s">
        <v>334</v>
      </c>
      <c r="M516" s="1353"/>
      <c r="N516" s="1353"/>
      <c r="O516" s="1353"/>
      <c r="P516" s="1353"/>
      <c r="Q516" s="1353"/>
      <c r="R516" s="1353"/>
      <c r="S516" s="1353"/>
      <c r="T516" s="1353"/>
      <c r="U516" s="1353"/>
      <c r="V516" s="1353"/>
      <c r="W516" s="1353"/>
      <c r="X516" s="1353"/>
      <c r="Y516" s="1353"/>
      <c r="Z516" s="1353"/>
      <c r="AA516" s="1353"/>
      <c r="AB516" s="1354"/>
      <c r="AC516" s="1317" t="s">
        <v>590</v>
      </c>
      <c r="AD516" s="1301"/>
      <c r="AE516" s="1301"/>
      <c r="AF516" s="1301"/>
      <c r="AG516" s="38" t="s">
        <v>403</v>
      </c>
      <c r="AH516" s="1319"/>
      <c r="AI516" s="1319"/>
      <c r="AJ516" s="1319"/>
      <c r="AK516" s="132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332" t="s">
        <v>668</v>
      </c>
      <c r="AD517" s="1332"/>
      <c r="AE517" s="1332"/>
      <c r="AF517" s="1332"/>
      <c r="AG517" s="13"/>
      <c r="AH517" s="1350"/>
      <c r="AI517" s="1350"/>
      <c r="AJ517" s="1350"/>
      <c r="AK517" s="135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89"/>
      <c r="AD518" s="1290"/>
      <c r="AE518" s="1290"/>
      <c r="AF518" s="1291"/>
      <c r="AG518" s="13"/>
      <c r="AH518" s="1350"/>
      <c r="AI518" s="1350"/>
      <c r="AJ518" s="1350"/>
      <c r="AK518" s="135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37">
        <v>0.25</v>
      </c>
      <c r="AD520" s="1438"/>
      <c r="AE520" s="1438"/>
      <c r="AF520" s="1439"/>
      <c r="AG520" s="38"/>
      <c r="AH520" s="1747"/>
      <c r="AI520" s="1747"/>
      <c r="AJ520" s="1747"/>
      <c r="AK520" s="1748"/>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5" t="s">
        <v>402</v>
      </c>
      <c r="AD521" s="1384"/>
      <c r="AE521" s="1384"/>
      <c r="AF521" s="1384"/>
      <c r="AG521" s="38" t="s">
        <v>403</v>
      </c>
      <c r="AH521" s="1384" t="s">
        <v>404</v>
      </c>
      <c r="AI521" s="1384"/>
      <c r="AJ521" s="1384"/>
      <c r="AK521" s="1385"/>
      <c r="AZ521" s="3"/>
      <c r="BA521" s="3"/>
      <c r="BB521" s="3"/>
      <c r="BC521" s="3"/>
      <c r="BD521" s="3"/>
      <c r="BE521" s="3"/>
      <c r="BF521" s="3"/>
      <c r="BG521" s="3"/>
      <c r="BH521" s="3"/>
      <c r="BI521" s="3"/>
      <c r="BJ521" s="3"/>
      <c r="BK521" s="3"/>
      <c r="BL521" s="3"/>
      <c r="BM521" s="3"/>
      <c r="BN521" s="3" t="s">
        <v>2057</v>
      </c>
    </row>
    <row r="522" spans="2:66" ht="12.95" customHeight="1">
      <c r="B522" s="1341" t="s">
        <v>414</v>
      </c>
      <c r="C522" s="1342"/>
      <c r="D522" s="1342"/>
      <c r="E522" s="1342"/>
      <c r="F522" s="1342"/>
      <c r="G522" s="1342"/>
      <c r="H522" s="1343"/>
      <c r="I522" s="42" t="s">
        <v>415</v>
      </c>
      <c r="J522" s="42"/>
      <c r="K522" s="42"/>
      <c r="L522" s="42"/>
      <c r="M522" s="42"/>
      <c r="N522" s="42"/>
      <c r="O522" s="42"/>
      <c r="P522" s="42"/>
      <c r="Q522" s="42"/>
      <c r="R522" s="42"/>
      <c r="S522" s="42"/>
      <c r="T522" s="42"/>
      <c r="U522" s="42"/>
      <c r="V522" s="42"/>
      <c r="W522" s="42"/>
      <c r="AC522" s="1317">
        <v>5</v>
      </c>
      <c r="AD522" s="1301"/>
      <c r="AE522" s="1301"/>
      <c r="AF522" s="1301"/>
      <c r="AG522" s="13" t="s">
        <v>403</v>
      </c>
      <c r="AH522" s="1319">
        <v>2026</v>
      </c>
      <c r="AI522" s="1319"/>
      <c r="AJ522" s="1319"/>
      <c r="AK522" s="1320"/>
      <c r="AZ522" s="3"/>
      <c r="BA522" s="3"/>
      <c r="BB522" s="3"/>
      <c r="BC522" s="3"/>
      <c r="BD522" s="3"/>
      <c r="BE522" s="3"/>
      <c r="BF522" s="3"/>
      <c r="BG522" s="3"/>
      <c r="BH522" s="3"/>
      <c r="BI522" s="3"/>
      <c r="BJ522" s="3"/>
      <c r="BK522" s="3"/>
      <c r="BL522" s="3"/>
      <c r="BM522" s="3"/>
      <c r="BN522" s="3" t="s">
        <v>2058</v>
      </c>
    </row>
    <row r="523" spans="2:66" ht="12.95" customHeight="1">
      <c r="B523" s="1344"/>
      <c r="C523" s="1345"/>
      <c r="D523" s="1345"/>
      <c r="E523" s="1345"/>
      <c r="F523" s="1345"/>
      <c r="G523" s="1345"/>
      <c r="H523" s="1346"/>
      <c r="I523" t="s">
        <v>416</v>
      </c>
      <c r="AC523" s="1317">
        <v>5</v>
      </c>
      <c r="AD523" s="1301"/>
      <c r="AE523" s="1301"/>
      <c r="AF523" s="1301"/>
      <c r="AG523" s="13" t="s">
        <v>403</v>
      </c>
      <c r="AH523" s="1319">
        <v>2026</v>
      </c>
      <c r="AI523" s="1319"/>
      <c r="AJ523" s="1319"/>
      <c r="AK523" s="1320"/>
      <c r="AZ523" s="3"/>
      <c r="BA523" s="3"/>
      <c r="BB523" s="3"/>
      <c r="BC523" s="3"/>
      <c r="BD523" s="3"/>
      <c r="BE523" s="3"/>
      <c r="BF523" s="3"/>
      <c r="BG523" s="3"/>
      <c r="BH523" s="3"/>
      <c r="BI523" s="3"/>
      <c r="BJ523" s="3"/>
      <c r="BK523" s="3"/>
      <c r="BL523" s="3"/>
      <c r="BM523" s="3"/>
      <c r="BN523" s="3" t="s">
        <v>2059</v>
      </c>
    </row>
    <row r="524" spans="2:66" ht="12.95" customHeight="1">
      <c r="B524" s="1344"/>
      <c r="C524" s="1345"/>
      <c r="D524" s="1345"/>
      <c r="E524" s="1345"/>
      <c r="F524" s="1345"/>
      <c r="G524" s="1345"/>
      <c r="H524" s="1346"/>
      <c r="I524" s="48" t="s">
        <v>417</v>
      </c>
      <c r="J524" s="48"/>
      <c r="K524" s="48"/>
      <c r="L524" s="48"/>
      <c r="M524" s="48"/>
      <c r="N524" s="48"/>
      <c r="O524" s="48"/>
      <c r="P524" s="48"/>
      <c r="Q524" s="48"/>
      <c r="R524" s="48"/>
      <c r="S524" s="48"/>
      <c r="T524" s="48"/>
      <c r="U524" s="48"/>
      <c r="V524" s="48"/>
      <c r="W524" s="48"/>
      <c r="X524" s="48"/>
      <c r="Y524" s="48"/>
      <c r="Z524" s="48"/>
      <c r="AA524" s="48"/>
      <c r="AB524" s="48"/>
      <c r="AC524" s="1317">
        <v>2</v>
      </c>
      <c r="AD524" s="1301"/>
      <c r="AE524" s="1301"/>
      <c r="AF524" s="1301"/>
      <c r="AG524" s="38" t="s">
        <v>403</v>
      </c>
      <c r="AH524" s="1319">
        <v>2027</v>
      </c>
      <c r="AI524" s="1319"/>
      <c r="AJ524" s="1319"/>
      <c r="AK524" s="1320"/>
      <c r="AZ524" s="3"/>
      <c r="BA524" s="3"/>
      <c r="BB524" s="3"/>
      <c r="BC524" s="3"/>
      <c r="BD524" s="3"/>
      <c r="BE524" s="3"/>
      <c r="BF524" s="3"/>
      <c r="BG524" s="3"/>
      <c r="BH524" s="3"/>
      <c r="BI524" s="3"/>
      <c r="BJ524" s="3"/>
      <c r="BK524" s="3"/>
      <c r="BL524" s="3"/>
      <c r="BM524" s="3"/>
      <c r="BN524" s="3" t="s">
        <v>2060</v>
      </c>
    </row>
    <row r="525" spans="2:66" ht="12.95" customHeight="1">
      <c r="B525" s="1341" t="s">
        <v>418</v>
      </c>
      <c r="C525" s="1342"/>
      <c r="D525" s="1342"/>
      <c r="E525" s="1342"/>
      <c r="F525" s="1342"/>
      <c r="G525" s="1342"/>
      <c r="H525" s="1343"/>
      <c r="I525" s="42" t="s">
        <v>415</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403</v>
      </c>
      <c r="AH525" s="1319">
        <v>2026</v>
      </c>
      <c r="AI525" s="1319"/>
      <c r="AJ525" s="1319"/>
      <c r="AK525" s="1320"/>
      <c r="AZ525" s="3"/>
      <c r="BB525" s="3"/>
      <c r="BC525" s="3"/>
      <c r="BD525" s="3"/>
      <c r="BE525" s="3"/>
      <c r="BF525" s="3"/>
      <c r="BG525" s="3"/>
      <c r="BH525" s="3"/>
      <c r="BI525" s="3"/>
      <c r="BJ525" s="3"/>
      <c r="BK525" s="3"/>
      <c r="BL525" s="3"/>
      <c r="BM525" s="3"/>
      <c r="BN525" s="3" t="s">
        <v>2061</v>
      </c>
    </row>
    <row r="526" spans="2:66" ht="12.95" customHeight="1">
      <c r="B526" s="1344"/>
      <c r="C526" s="1345"/>
      <c r="D526" s="1345"/>
      <c r="E526" s="1345"/>
      <c r="F526" s="1345"/>
      <c r="G526" s="1345"/>
      <c r="H526" s="1346"/>
      <c r="I526" t="s">
        <v>416</v>
      </c>
      <c r="AC526" s="1317">
        <v>5</v>
      </c>
      <c r="AD526" s="1301"/>
      <c r="AE526" s="1301"/>
      <c r="AF526" s="1301"/>
      <c r="AG526" s="13" t="s">
        <v>403</v>
      </c>
      <c r="AH526" s="1319">
        <v>2026</v>
      </c>
      <c r="AI526" s="1319"/>
      <c r="AJ526" s="1319"/>
      <c r="AK526" s="1320"/>
      <c r="BB526" s="3"/>
      <c r="BC526" s="3"/>
      <c r="BD526" s="3"/>
      <c r="BE526" s="3"/>
      <c r="BF526" s="3"/>
      <c r="BG526" s="3"/>
      <c r="BH526" s="3"/>
      <c r="BI526" s="3"/>
      <c r="BJ526" s="3"/>
      <c r="BK526" s="3"/>
      <c r="BL526" s="3"/>
      <c r="BM526" s="3"/>
      <c r="BN526" s="3" t="s">
        <v>2062</v>
      </c>
    </row>
    <row r="527" spans="2:66" ht="12.95" customHeight="1">
      <c r="B527" s="1347"/>
      <c r="C527" s="1348"/>
      <c r="D527" s="1348"/>
      <c r="E527" s="1348"/>
      <c r="F527" s="1348"/>
      <c r="G527" s="1348"/>
      <c r="H527" s="1349"/>
      <c r="I527" s="48" t="s">
        <v>417</v>
      </c>
      <c r="J527" s="48"/>
      <c r="K527" s="48"/>
      <c r="L527" s="48"/>
      <c r="M527" s="48"/>
      <c r="N527" s="48"/>
      <c r="O527" s="48"/>
      <c r="P527" s="48"/>
      <c r="Q527" s="48"/>
      <c r="R527" s="48"/>
      <c r="S527" s="48"/>
      <c r="T527" s="48"/>
      <c r="U527" s="48"/>
      <c r="V527" s="48"/>
      <c r="W527" s="48"/>
      <c r="X527" s="48"/>
      <c r="Y527" s="48"/>
      <c r="Z527" s="48"/>
      <c r="AA527" s="48"/>
      <c r="AB527" s="48"/>
      <c r="AC527" s="1317">
        <v>2</v>
      </c>
      <c r="AD527" s="1301"/>
      <c r="AE527" s="1301"/>
      <c r="AF527" s="1301"/>
      <c r="AG527" s="38" t="s">
        <v>403</v>
      </c>
      <c r="AH527" s="1319">
        <v>2030</v>
      </c>
      <c r="AI527" s="1319"/>
      <c r="AJ527" s="1319"/>
      <c r="AK527" s="1320"/>
      <c r="BB527" s="3"/>
      <c r="BC527" s="3"/>
      <c r="BD527" s="3"/>
      <c r="BE527" s="3"/>
      <c r="BF527" s="3"/>
      <c r="BG527" s="3"/>
      <c r="BH527" s="3"/>
      <c r="BI527" s="3"/>
      <c r="BJ527" s="3"/>
      <c r="BK527" s="3"/>
      <c r="BL527" s="3"/>
      <c r="BM527" s="3"/>
      <c r="BN527" s="3" t="s">
        <v>2063</v>
      </c>
    </row>
    <row r="528" spans="2:66" ht="12.95" customHeight="1">
      <c r="B528" s="1341" t="s">
        <v>419</v>
      </c>
      <c r="C528" s="1342"/>
      <c r="D528" s="1342"/>
      <c r="E528" s="1342"/>
      <c r="F528" s="1342"/>
      <c r="G528" s="1342"/>
      <c r="H528" s="1343"/>
      <c r="I528" s="41" t="s">
        <v>420</v>
      </c>
      <c r="J528" s="42"/>
      <c r="K528" s="42"/>
      <c r="L528" s="42"/>
      <c r="M528" s="42"/>
      <c r="N528" s="42"/>
      <c r="O528" s="1352" t="s">
        <v>334</v>
      </c>
      <c r="P528" s="1353"/>
      <c r="Q528" s="1353"/>
      <c r="R528" s="1353"/>
      <c r="S528" s="1353"/>
      <c r="T528" s="1353"/>
      <c r="U528" s="1353"/>
      <c r="V528" s="1353"/>
      <c r="W528" s="1353"/>
      <c r="X528" s="1353"/>
      <c r="Y528" s="1353"/>
      <c r="Z528" s="1353"/>
      <c r="AA528" s="1353"/>
      <c r="AB528" s="58"/>
      <c r="AC528" s="1289" t="s">
        <v>590</v>
      </c>
      <c r="AD528" s="1290"/>
      <c r="AE528" s="1290"/>
      <c r="AF528" s="1290"/>
      <c r="AG528" s="129" t="s">
        <v>403</v>
      </c>
      <c r="AH528" s="1319"/>
      <c r="AI528" s="1319"/>
      <c r="AJ528" s="1319"/>
      <c r="AK528" s="1320"/>
      <c r="AZ528" s="3"/>
      <c r="BB528" s="3"/>
      <c r="BC528" s="3"/>
      <c r="BD528" s="3"/>
      <c r="BE528" s="3"/>
      <c r="BF528" s="3"/>
      <c r="BG528" s="3"/>
      <c r="BH528" s="3"/>
      <c r="BI528" s="3"/>
      <c r="BJ528" s="3"/>
      <c r="BK528" s="3"/>
      <c r="BL528" s="3"/>
      <c r="BM528" s="3"/>
      <c r="BN528" s="3" t="s">
        <v>2064</v>
      </c>
    </row>
    <row r="529" spans="2:66" ht="12.95" customHeight="1">
      <c r="B529" s="1344"/>
      <c r="C529" s="1345"/>
      <c r="D529" s="1345"/>
      <c r="E529" s="1345"/>
      <c r="F529" s="1345"/>
      <c r="G529" s="1345"/>
      <c r="H529" s="1346"/>
      <c r="I529" s="114" t="s">
        <v>421</v>
      </c>
      <c r="AB529" s="65"/>
      <c r="AC529" s="1317" t="s">
        <v>590</v>
      </c>
      <c r="AD529" s="1301"/>
      <c r="AE529" s="1301"/>
      <c r="AF529" s="1301"/>
      <c r="AG529" s="13" t="s">
        <v>403</v>
      </c>
      <c r="AH529" s="1319"/>
      <c r="AI529" s="1319"/>
      <c r="AJ529" s="1319"/>
      <c r="AK529" s="1320"/>
      <c r="AZ529" s="3"/>
      <c r="BB529" s="3"/>
      <c r="BC529" s="3"/>
      <c r="BD529" s="3"/>
      <c r="BE529" s="3"/>
      <c r="BF529" s="3"/>
      <c r="BG529" s="3"/>
      <c r="BH529" s="3"/>
      <c r="BI529" s="3"/>
      <c r="BJ529" s="3"/>
      <c r="BK529" s="3"/>
      <c r="BL529" s="3"/>
      <c r="BM529" s="3"/>
      <c r="BN529" s="3" t="s">
        <v>2065</v>
      </c>
    </row>
    <row r="530" spans="2:66" ht="12.95" customHeight="1">
      <c r="B530" s="1344"/>
      <c r="C530" s="1345"/>
      <c r="D530" s="1345"/>
      <c r="E530" s="1345"/>
      <c r="F530" s="1345"/>
      <c r="G530" s="1345"/>
      <c r="H530" s="1346"/>
      <c r="I530" s="47" t="s">
        <v>422</v>
      </c>
      <c r="J530" s="48"/>
      <c r="K530" s="48"/>
      <c r="L530" s="48"/>
      <c r="M530" s="48"/>
      <c r="N530" s="48"/>
      <c r="O530" s="48"/>
      <c r="P530" s="48"/>
      <c r="Q530" s="48"/>
      <c r="R530" s="48"/>
      <c r="S530" s="48"/>
      <c r="T530" s="48"/>
      <c r="U530" s="48"/>
      <c r="V530" s="48"/>
      <c r="W530" s="48"/>
      <c r="X530" s="48"/>
      <c r="Y530" s="48"/>
      <c r="Z530" s="48"/>
      <c r="AA530" s="48"/>
      <c r="AB530" s="49"/>
      <c r="AC530" s="1317" t="s">
        <v>590</v>
      </c>
      <c r="AD530" s="1301"/>
      <c r="AE530" s="1301"/>
      <c r="AF530" s="1301"/>
      <c r="AG530" s="38" t="s">
        <v>403</v>
      </c>
      <c r="AH530" s="1319"/>
      <c r="AI530" s="1319"/>
      <c r="AJ530" s="1319"/>
      <c r="AK530" s="1320"/>
      <c r="AZ530" s="3"/>
      <c r="BA530" s="3"/>
      <c r="BB530" s="3"/>
      <c r="BC530" s="3"/>
      <c r="BD530" s="3"/>
      <c r="BE530" s="3"/>
      <c r="BF530" s="3"/>
      <c r="BG530" s="3"/>
      <c r="BH530" s="3"/>
      <c r="BI530" s="3"/>
      <c r="BJ530" s="3"/>
      <c r="BK530" s="3"/>
      <c r="BL530" s="3"/>
      <c r="BM530" s="3"/>
      <c r="BN530" s="3" t="s">
        <v>2066</v>
      </c>
    </row>
    <row r="531" spans="2:66" ht="12.95" customHeight="1">
      <c r="B531" s="1344"/>
      <c r="C531" s="1345"/>
      <c r="D531" s="1345"/>
      <c r="E531" s="1345"/>
      <c r="F531" s="1345"/>
      <c r="G531" s="1345"/>
      <c r="H531" s="1346"/>
      <c r="I531" s="42" t="s">
        <v>423</v>
      </c>
      <c r="J531" s="42"/>
      <c r="K531" s="42"/>
      <c r="L531" s="42"/>
      <c r="M531" s="42"/>
      <c r="N531" s="42"/>
      <c r="O531" s="1352" t="s">
        <v>334</v>
      </c>
      <c r="P531" s="1353"/>
      <c r="Q531" s="1353"/>
      <c r="R531" s="1353"/>
      <c r="S531" s="1353"/>
      <c r="T531" s="1353"/>
      <c r="U531" s="1353"/>
      <c r="V531" s="1353"/>
      <c r="W531" s="1353"/>
      <c r="X531" s="1353"/>
      <c r="Y531" s="1353"/>
      <c r="Z531" s="1353"/>
      <c r="AA531" s="1353"/>
      <c r="AC531" s="1317" t="s">
        <v>590</v>
      </c>
      <c r="AD531" s="1301"/>
      <c r="AE531" s="1301"/>
      <c r="AF531" s="1301"/>
      <c r="AG531" s="13" t="s">
        <v>403</v>
      </c>
      <c r="AH531" s="1319"/>
      <c r="AI531" s="1319"/>
      <c r="AJ531" s="1319"/>
      <c r="AK531" s="1320"/>
      <c r="AZ531" s="3"/>
      <c r="BA531" s="3"/>
      <c r="BB531" s="3"/>
      <c r="BC531" s="3"/>
      <c r="BD531" s="3"/>
      <c r="BE531" s="3"/>
      <c r="BF531" s="3"/>
      <c r="BG531" s="3"/>
      <c r="BH531" s="3"/>
      <c r="BI531" s="3"/>
      <c r="BJ531" s="3"/>
      <c r="BK531" s="3"/>
      <c r="BL531" s="3"/>
      <c r="BM531" s="3"/>
      <c r="BN531" s="3" t="s">
        <v>2067</v>
      </c>
    </row>
    <row r="532" spans="2:66" ht="12.95" customHeight="1">
      <c r="B532" s="1344"/>
      <c r="C532" s="1345"/>
      <c r="D532" s="1345"/>
      <c r="E532" s="1345"/>
      <c r="F532" s="1345"/>
      <c r="G532" s="1345"/>
      <c r="H532" s="1346"/>
      <c r="I532" t="s">
        <v>421</v>
      </c>
      <c r="AC532" s="1317" t="s">
        <v>590</v>
      </c>
      <c r="AD532" s="1301"/>
      <c r="AE532" s="1301"/>
      <c r="AF532" s="1301"/>
      <c r="AG532" s="13" t="s">
        <v>403</v>
      </c>
      <c r="AH532" s="1319"/>
      <c r="AI532" s="1319"/>
      <c r="AJ532" s="1319"/>
      <c r="AK532" s="1320"/>
      <c r="AZ532" s="3"/>
      <c r="BA532" s="3"/>
      <c r="BB532" s="3"/>
      <c r="BC532" s="3"/>
      <c r="BD532" s="3"/>
      <c r="BE532" s="3"/>
      <c r="BF532" s="3"/>
      <c r="BG532" s="3"/>
      <c r="BH532" s="3"/>
      <c r="BI532" s="3"/>
      <c r="BJ532" s="3"/>
      <c r="BK532" s="3"/>
      <c r="BL532" s="3"/>
      <c r="BM532" s="3"/>
      <c r="BN532" s="3" t="s">
        <v>2068</v>
      </c>
    </row>
    <row r="533" spans="2:66" ht="12.95" customHeight="1">
      <c r="B533" s="1344"/>
      <c r="C533" s="1345"/>
      <c r="D533" s="1345"/>
      <c r="E533" s="1345"/>
      <c r="F533" s="1345"/>
      <c r="G533" s="1345"/>
      <c r="H533" s="1346"/>
      <c r="I533" s="48" t="s">
        <v>422</v>
      </c>
      <c r="J533" s="48"/>
      <c r="K533" s="48"/>
      <c r="L533" s="48"/>
      <c r="M533" s="48"/>
      <c r="N533" s="48"/>
      <c r="O533" s="48"/>
      <c r="P533" s="48"/>
      <c r="Q533" s="48"/>
      <c r="R533" s="48"/>
      <c r="S533" s="48"/>
      <c r="T533" s="48"/>
      <c r="U533" s="48"/>
      <c r="V533" s="48"/>
      <c r="W533" s="48"/>
      <c r="X533" s="48"/>
      <c r="Y533" s="48"/>
      <c r="Z533" s="48"/>
      <c r="AA533" s="48"/>
      <c r="AB533" s="48"/>
      <c r="AC533" s="1317" t="s">
        <v>590</v>
      </c>
      <c r="AD533" s="1301"/>
      <c r="AE533" s="1301"/>
      <c r="AF533" s="1301"/>
      <c r="AG533" s="38" t="s">
        <v>403</v>
      </c>
      <c r="AH533" s="1319"/>
      <c r="AI533" s="1319"/>
      <c r="AJ533" s="1319"/>
      <c r="AK533" s="1320"/>
      <c r="AZ533" s="3"/>
      <c r="BA533" s="3"/>
      <c r="BB533" s="3"/>
      <c r="BC533" s="3"/>
      <c r="BD533" s="3"/>
      <c r="BE533" s="3"/>
      <c r="BF533" s="3"/>
      <c r="BG533" s="3"/>
      <c r="BH533" s="3"/>
      <c r="BI533" s="3"/>
      <c r="BJ533" s="3"/>
      <c r="BK533" s="3"/>
      <c r="BL533" s="3"/>
      <c r="BM533" s="3"/>
      <c r="BN533" s="3" t="s">
        <v>2069</v>
      </c>
    </row>
    <row r="534" spans="2:66" ht="12.95" customHeight="1">
      <c r="B534" s="1344"/>
      <c r="C534" s="1345"/>
      <c r="D534" s="1345"/>
      <c r="E534" s="1345"/>
      <c r="F534" s="1345"/>
      <c r="G534" s="1345"/>
      <c r="H534" s="1346"/>
      <c r="I534" s="42" t="s">
        <v>423</v>
      </c>
      <c r="J534" s="42"/>
      <c r="K534" s="42"/>
      <c r="L534" s="42"/>
      <c r="M534" s="42"/>
      <c r="N534" s="42"/>
      <c r="O534" s="1352" t="s">
        <v>334</v>
      </c>
      <c r="P534" s="1353"/>
      <c r="Q534" s="1353"/>
      <c r="R534" s="1353"/>
      <c r="S534" s="1353"/>
      <c r="T534" s="1353"/>
      <c r="U534" s="1353"/>
      <c r="V534" s="1353"/>
      <c r="W534" s="1353"/>
      <c r="X534" s="1353"/>
      <c r="Y534" s="1353"/>
      <c r="Z534" s="1353"/>
      <c r="AA534" s="1353"/>
      <c r="AC534" s="1317" t="s">
        <v>590</v>
      </c>
      <c r="AD534" s="1301"/>
      <c r="AE534" s="1301"/>
      <c r="AF534" s="1301"/>
      <c r="AG534" s="13" t="s">
        <v>403</v>
      </c>
      <c r="AH534" s="1319"/>
      <c r="AI534" s="1319"/>
      <c r="AJ534" s="1319"/>
      <c r="AK534" s="1320"/>
      <c r="AZ534" s="3"/>
      <c r="BA534" s="3"/>
      <c r="BB534" s="3"/>
      <c r="BC534" s="3"/>
      <c r="BD534" s="3"/>
      <c r="BE534" s="3"/>
      <c r="BF534" s="3"/>
      <c r="BG534" s="3"/>
      <c r="BH534" s="3"/>
      <c r="BI534" s="3"/>
      <c r="BJ534" s="3"/>
      <c r="BK534" s="3"/>
      <c r="BL534" s="3"/>
      <c r="BM534" s="3"/>
      <c r="BN534" s="3" t="s">
        <v>2070</v>
      </c>
    </row>
    <row r="535" spans="2:66" ht="12.95" customHeight="1">
      <c r="B535" s="1344"/>
      <c r="C535" s="1345"/>
      <c r="D535" s="1345"/>
      <c r="E535" s="1345"/>
      <c r="F535" s="1345"/>
      <c r="G535" s="1345"/>
      <c r="H535" s="1346"/>
      <c r="I535" t="s">
        <v>421</v>
      </c>
      <c r="AC535" s="1317" t="s">
        <v>590</v>
      </c>
      <c r="AD535" s="1301"/>
      <c r="AE535" s="1301"/>
      <c r="AF535" s="1301"/>
      <c r="AG535" s="13" t="s">
        <v>403</v>
      </c>
      <c r="AH535" s="1319"/>
      <c r="AI535" s="1319"/>
      <c r="AJ535" s="1319"/>
      <c r="AK535" s="1320"/>
      <c r="AZ535" s="3"/>
      <c r="BA535" s="3"/>
      <c r="BB535" s="3"/>
      <c r="BC535" s="3"/>
      <c r="BD535" s="3"/>
      <c r="BE535" s="3"/>
      <c r="BF535" s="3"/>
      <c r="BG535" s="3"/>
      <c r="BH535" s="3"/>
      <c r="BI535" s="3"/>
      <c r="BJ535" s="3"/>
      <c r="BK535" s="3"/>
      <c r="BL535" s="3"/>
      <c r="BM535" s="3"/>
      <c r="BN535" s="3" t="s">
        <v>2071</v>
      </c>
    </row>
    <row r="536" spans="2:66" ht="12.95" customHeight="1">
      <c r="B536" s="1344"/>
      <c r="C536" s="1345"/>
      <c r="D536" s="1345"/>
      <c r="E536" s="1345"/>
      <c r="F536" s="1345"/>
      <c r="G536" s="1345"/>
      <c r="H536" s="1346"/>
      <c r="I536" s="48" t="s">
        <v>422</v>
      </c>
      <c r="J536" s="48"/>
      <c r="K536" s="48"/>
      <c r="L536" s="48"/>
      <c r="M536" s="48"/>
      <c r="N536" s="48"/>
      <c r="O536" s="48"/>
      <c r="P536" s="48"/>
      <c r="Q536" s="48"/>
      <c r="R536" s="48"/>
      <c r="S536" s="48"/>
      <c r="T536" s="48"/>
      <c r="U536" s="48"/>
      <c r="V536" s="48"/>
      <c r="W536" s="48"/>
      <c r="X536" s="48"/>
      <c r="Y536" s="48"/>
      <c r="Z536" s="48"/>
      <c r="AA536" s="48"/>
      <c r="AB536" s="48"/>
      <c r="AC536" s="1317" t="s">
        <v>590</v>
      </c>
      <c r="AD536" s="1301"/>
      <c r="AE536" s="1301"/>
      <c r="AF536" s="1301"/>
      <c r="AG536" s="38" t="s">
        <v>403</v>
      </c>
      <c r="AH536" s="1319"/>
      <c r="AI536" s="1319"/>
      <c r="AJ536" s="1319"/>
      <c r="AK536" s="1320"/>
      <c r="AZ536" s="3"/>
      <c r="BA536" s="3"/>
      <c r="BB536" s="3"/>
      <c r="BC536" s="3"/>
      <c r="BD536" s="3"/>
      <c r="BE536" s="3"/>
      <c r="BF536" s="3"/>
      <c r="BG536" s="3"/>
      <c r="BH536" s="3"/>
      <c r="BI536" s="3"/>
      <c r="BJ536" s="3"/>
      <c r="BK536" s="3"/>
      <c r="BL536" s="3"/>
      <c r="BM536" s="3"/>
      <c r="BN536" s="3" t="s">
        <v>2072</v>
      </c>
    </row>
    <row r="537" spans="2:66" ht="12.95" customHeight="1">
      <c r="B537" s="1344"/>
      <c r="C537" s="1345"/>
      <c r="D537" s="1345"/>
      <c r="E537" s="1345"/>
      <c r="F537" s="1345"/>
      <c r="G537" s="1345"/>
      <c r="H537" s="1346"/>
      <c r="I537" s="42" t="s">
        <v>423</v>
      </c>
      <c r="J537" s="42"/>
      <c r="K537" s="42"/>
      <c r="L537" s="42"/>
      <c r="M537" s="42"/>
      <c r="N537" s="42"/>
      <c r="O537" s="1352" t="s">
        <v>334</v>
      </c>
      <c r="P537" s="1353"/>
      <c r="Q537" s="1353"/>
      <c r="R537" s="1353"/>
      <c r="S537" s="1353"/>
      <c r="T537" s="1353"/>
      <c r="U537" s="1353"/>
      <c r="V537" s="1353"/>
      <c r="W537" s="1353"/>
      <c r="X537" s="1353"/>
      <c r="Y537" s="1353"/>
      <c r="Z537" s="1353"/>
      <c r="AA537" s="1353"/>
      <c r="AC537" s="1317" t="s">
        <v>590</v>
      </c>
      <c r="AD537" s="1301"/>
      <c r="AE537" s="1301"/>
      <c r="AF537" s="1301"/>
      <c r="AG537" s="13" t="s">
        <v>403</v>
      </c>
      <c r="AH537" s="1319"/>
      <c r="AI537" s="1319"/>
      <c r="AJ537" s="1319"/>
      <c r="AK537" s="1320"/>
      <c r="AZ537" s="3"/>
      <c r="BA537" s="3"/>
      <c r="BB537" s="3"/>
      <c r="BC537" s="3"/>
      <c r="BD537" s="3"/>
      <c r="BE537" s="3"/>
      <c r="BF537" s="3"/>
      <c r="BG537" s="3"/>
      <c r="BH537" s="3"/>
      <c r="BI537" s="3"/>
      <c r="BJ537" s="3"/>
      <c r="BK537" s="3"/>
      <c r="BL537" s="3"/>
      <c r="BM537" s="3"/>
      <c r="BN537" s="3" t="s">
        <v>2073</v>
      </c>
    </row>
    <row r="538" spans="2:66" ht="12.95" customHeight="1">
      <c r="B538" s="1344"/>
      <c r="C538" s="1345"/>
      <c r="D538" s="1345"/>
      <c r="E538" s="1345"/>
      <c r="F538" s="1345"/>
      <c r="G538" s="1345"/>
      <c r="H538" s="1346"/>
      <c r="I538" t="s">
        <v>421</v>
      </c>
      <c r="AC538" s="1317" t="s">
        <v>590</v>
      </c>
      <c r="AD538" s="1301"/>
      <c r="AE538" s="1301"/>
      <c r="AF538" s="1301"/>
      <c r="AG538" s="13" t="s">
        <v>403</v>
      </c>
      <c r="AH538" s="1319"/>
      <c r="AI538" s="1319"/>
      <c r="AJ538" s="1319"/>
      <c r="AK538" s="1320"/>
      <c r="AZ538" s="3"/>
      <c r="BA538" s="3"/>
      <c r="BB538" s="3"/>
      <c r="BC538" s="3"/>
      <c r="BD538" s="3"/>
      <c r="BE538" s="3"/>
      <c r="BF538" s="3"/>
      <c r="BG538" s="3"/>
      <c r="BH538" s="3"/>
      <c r="BI538" s="3"/>
      <c r="BJ538" s="3"/>
      <c r="BK538" s="3"/>
      <c r="BL538" s="3"/>
      <c r="BM538" s="3"/>
      <c r="BN538" s="3" t="s">
        <v>2074</v>
      </c>
    </row>
    <row r="539" spans="2:66" ht="12.95" customHeight="1">
      <c r="B539" s="1344"/>
      <c r="C539" s="1345"/>
      <c r="D539" s="1345"/>
      <c r="E539" s="1345"/>
      <c r="F539" s="1345"/>
      <c r="G539" s="1345"/>
      <c r="H539" s="1346"/>
      <c r="I539" s="48" t="s">
        <v>422</v>
      </c>
      <c r="J539" s="48"/>
      <c r="K539" s="48"/>
      <c r="L539" s="48"/>
      <c r="M539" s="48"/>
      <c r="N539" s="48"/>
      <c r="O539" s="48"/>
      <c r="P539" s="48"/>
      <c r="Q539" s="48"/>
      <c r="R539" s="48"/>
      <c r="S539" s="48"/>
      <c r="T539" s="48"/>
      <c r="U539" s="48"/>
      <c r="V539" s="48"/>
      <c r="W539" s="48"/>
      <c r="X539" s="48"/>
      <c r="Y539" s="48"/>
      <c r="Z539" s="48"/>
      <c r="AA539" s="48"/>
      <c r="AB539" s="48"/>
      <c r="AC539" s="1317" t="s">
        <v>590</v>
      </c>
      <c r="AD539" s="1301"/>
      <c r="AE539" s="1301"/>
      <c r="AF539" s="1301"/>
      <c r="AG539" s="38" t="s">
        <v>403</v>
      </c>
      <c r="AH539" s="1319"/>
      <c r="AI539" s="1319"/>
      <c r="AJ539" s="1319"/>
      <c r="AK539" s="1320"/>
      <c r="AZ539" s="3"/>
      <c r="BA539" s="3"/>
      <c r="BB539" s="3"/>
      <c r="BC539" s="3"/>
      <c r="BD539" s="3"/>
      <c r="BE539" s="3"/>
      <c r="BF539" s="3"/>
      <c r="BG539" s="3"/>
      <c r="BH539" s="3"/>
      <c r="BI539" s="3"/>
      <c r="BJ539" s="3"/>
      <c r="BK539" s="3"/>
      <c r="BL539" s="3"/>
      <c r="BM539" s="3"/>
      <c r="BN539" s="3" t="s">
        <v>2075</v>
      </c>
    </row>
    <row r="540" spans="2:66" ht="12.95" customHeight="1">
      <c r="B540" s="1344"/>
      <c r="C540" s="1345"/>
      <c r="D540" s="1345"/>
      <c r="E540" s="1345"/>
      <c r="F540" s="1345"/>
      <c r="G540" s="1345"/>
      <c r="H540" s="1346"/>
      <c r="I540" s="42" t="s">
        <v>423</v>
      </c>
      <c r="J540" s="42"/>
      <c r="K540" s="42"/>
      <c r="L540" s="42"/>
      <c r="M540" s="42"/>
      <c r="N540" s="42"/>
      <c r="O540" s="1352" t="s">
        <v>334</v>
      </c>
      <c r="P540" s="1353"/>
      <c r="Q540" s="1353"/>
      <c r="R540" s="1353"/>
      <c r="S540" s="1353"/>
      <c r="T540" s="1353"/>
      <c r="U540" s="1353"/>
      <c r="V540" s="1353"/>
      <c r="W540" s="1353"/>
      <c r="X540" s="1353"/>
      <c r="Y540" s="1353"/>
      <c r="Z540" s="1353"/>
      <c r="AA540" s="1353"/>
      <c r="AC540" s="1317" t="s">
        <v>590</v>
      </c>
      <c r="AD540" s="1301"/>
      <c r="AE540" s="1301"/>
      <c r="AF540" s="1301"/>
      <c r="AG540" s="13" t="s">
        <v>403</v>
      </c>
      <c r="AH540" s="1319"/>
      <c r="AI540" s="1319"/>
      <c r="AJ540" s="1319"/>
      <c r="AK540" s="1320"/>
      <c r="AZ540" s="3"/>
      <c r="BA540" s="3"/>
      <c r="BB540" s="3"/>
      <c r="BC540" s="3"/>
      <c r="BD540" s="3"/>
      <c r="BE540" s="3"/>
      <c r="BF540" s="3"/>
      <c r="BG540" s="3"/>
      <c r="BH540" s="3"/>
      <c r="BI540" s="3"/>
      <c r="BJ540" s="3"/>
      <c r="BK540" s="3"/>
      <c r="BL540" s="3"/>
      <c r="BM540" s="3"/>
      <c r="BN540" s="3" t="s">
        <v>2076</v>
      </c>
    </row>
    <row r="541" spans="2:66" ht="12.95" customHeight="1">
      <c r="B541" s="1344"/>
      <c r="C541" s="1345"/>
      <c r="D541" s="1345"/>
      <c r="E541" s="1345"/>
      <c r="F541" s="1345"/>
      <c r="G541" s="1345"/>
      <c r="H541" s="1346"/>
      <c r="I541" t="s">
        <v>421</v>
      </c>
      <c r="AC541" s="1317" t="s">
        <v>590</v>
      </c>
      <c r="AD541" s="1301"/>
      <c r="AE541" s="1301"/>
      <c r="AF541" s="1301"/>
      <c r="AG541" s="38" t="s">
        <v>403</v>
      </c>
      <c r="AH541" s="1319"/>
      <c r="AI541" s="1319"/>
      <c r="AJ541" s="1319"/>
      <c r="AK541" s="1320"/>
      <c r="AZ541" s="3"/>
      <c r="BA541" s="3"/>
      <c r="BB541" s="3"/>
      <c r="BC541" s="3"/>
      <c r="BD541" s="3"/>
      <c r="BE541" s="3"/>
      <c r="BF541" s="3"/>
      <c r="BG541" s="3"/>
      <c r="BH541" s="3"/>
      <c r="BI541" s="3"/>
      <c r="BJ541" s="3"/>
      <c r="BK541" s="3"/>
      <c r="BL541" s="3"/>
      <c r="BM541" s="3"/>
      <c r="BN541" s="3" t="s">
        <v>2077</v>
      </c>
    </row>
    <row r="542" spans="2:66" ht="12.95" customHeight="1">
      <c r="B542" s="1344"/>
      <c r="C542" s="1345"/>
      <c r="D542" s="1345"/>
      <c r="E542" s="1345"/>
      <c r="F542" s="1345"/>
      <c r="G542" s="1345"/>
      <c r="H542" s="1346"/>
      <c r="I542" s="48" t="s">
        <v>422</v>
      </c>
      <c r="J542" s="48"/>
      <c r="K542" s="48"/>
      <c r="L542" s="48"/>
      <c r="M542" s="48"/>
      <c r="N542" s="48"/>
      <c r="O542" s="48"/>
      <c r="P542" s="48"/>
      <c r="Q542" s="48"/>
      <c r="R542" s="48"/>
      <c r="S542" s="48"/>
      <c r="T542" s="48"/>
      <c r="U542" s="48"/>
      <c r="V542" s="48"/>
      <c r="W542" s="48"/>
      <c r="X542" s="48"/>
      <c r="Y542" s="48"/>
      <c r="Z542" s="48"/>
      <c r="AA542" s="48"/>
      <c r="AB542" s="48"/>
      <c r="AC542" s="1317" t="s">
        <v>590</v>
      </c>
      <c r="AD542" s="1301"/>
      <c r="AE542" s="1301"/>
      <c r="AF542" s="1301"/>
      <c r="AG542" s="13" t="s">
        <v>403</v>
      </c>
      <c r="AH542" s="1319"/>
      <c r="AI542" s="1319"/>
      <c r="AJ542" s="1319"/>
      <c r="AK542" s="1320"/>
      <c r="AZ542" s="3"/>
      <c r="BA542" s="3"/>
      <c r="BB542" s="3"/>
      <c r="BC542" s="3"/>
      <c r="BD542" s="3"/>
      <c r="BE542" s="3"/>
      <c r="BF542" s="3"/>
      <c r="BG542" s="3"/>
      <c r="BH542" s="3"/>
      <c r="BI542" s="3"/>
      <c r="BJ542" s="3"/>
      <c r="BK542" s="3"/>
      <c r="BL542" s="3"/>
      <c r="BM542" s="3"/>
      <c r="BN542" s="3" t="s">
        <v>2078</v>
      </c>
    </row>
    <row r="543" spans="2:66" ht="12.95" customHeight="1">
      <c r="B543" s="1344"/>
      <c r="C543" s="1345"/>
      <c r="D543" s="1345"/>
      <c r="E543" s="1345"/>
      <c r="F543" s="1345"/>
      <c r="G543" s="1345"/>
      <c r="H543" s="1346"/>
      <c r="I543" s="42" t="s">
        <v>423</v>
      </c>
      <c r="J543" s="42"/>
      <c r="K543" s="42"/>
      <c r="L543" s="42"/>
      <c r="M543" s="42"/>
      <c r="N543" s="42"/>
      <c r="O543" s="1352" t="s">
        <v>334</v>
      </c>
      <c r="P543" s="1353"/>
      <c r="Q543" s="1353"/>
      <c r="R543" s="1353"/>
      <c r="S543" s="1353"/>
      <c r="T543" s="1353"/>
      <c r="U543" s="1353"/>
      <c r="V543" s="1353"/>
      <c r="W543" s="1353"/>
      <c r="X543" s="1353"/>
      <c r="Y543" s="1353"/>
      <c r="Z543" s="1353"/>
      <c r="AA543" s="1353"/>
      <c r="AC543" s="1317" t="s">
        <v>590</v>
      </c>
      <c r="AD543" s="1301"/>
      <c r="AE543" s="1301"/>
      <c r="AF543" s="1301"/>
      <c r="AG543" s="38" t="s">
        <v>403</v>
      </c>
      <c r="AH543" s="1319"/>
      <c r="AI543" s="1319"/>
      <c r="AJ543" s="1319"/>
      <c r="AK543" s="1320"/>
      <c r="AZ543" s="3"/>
      <c r="BA543" s="3"/>
      <c r="BB543" s="3"/>
      <c r="BC543" s="3"/>
      <c r="BD543" s="3"/>
      <c r="BE543" s="3"/>
      <c r="BF543" s="3"/>
      <c r="BG543" s="3"/>
      <c r="BH543" s="3"/>
      <c r="BI543" s="3"/>
      <c r="BJ543" s="3"/>
      <c r="BK543" s="3"/>
      <c r="BL543" s="3"/>
      <c r="BM543" s="3"/>
      <c r="BN543" s="3" t="s">
        <v>2079</v>
      </c>
    </row>
    <row r="544" spans="2:66" ht="12.95" customHeight="1">
      <c r="B544" s="1344"/>
      <c r="C544" s="1345"/>
      <c r="D544" s="1345"/>
      <c r="E544" s="1345"/>
      <c r="F544" s="1345"/>
      <c r="G544" s="1345"/>
      <c r="H544" s="1346"/>
      <c r="I544" t="s">
        <v>421</v>
      </c>
      <c r="AC544" s="1317" t="s">
        <v>590</v>
      </c>
      <c r="AD544" s="1301"/>
      <c r="AE544" s="1301"/>
      <c r="AF544" s="1301"/>
      <c r="AG544" s="13" t="s">
        <v>403</v>
      </c>
      <c r="AH544" s="1319"/>
      <c r="AI544" s="1319"/>
      <c r="AJ544" s="1319"/>
      <c r="AK544" s="1320"/>
      <c r="AZ544" s="3"/>
      <c r="BA544" s="3"/>
      <c r="BB544" s="3"/>
      <c r="BC544" s="3"/>
      <c r="BD544" s="3"/>
      <c r="BE544" s="3"/>
      <c r="BF544" s="3"/>
      <c r="BG544" s="3"/>
      <c r="BH544" s="3"/>
      <c r="BI544" s="3"/>
      <c r="BJ544" s="3"/>
      <c r="BK544" s="3"/>
      <c r="BL544" s="3"/>
      <c r="BM544" s="3"/>
      <c r="BN544" s="3" t="s">
        <v>2080</v>
      </c>
    </row>
    <row r="545" spans="1:66" ht="12.95" customHeight="1">
      <c r="B545" s="1344"/>
      <c r="C545" s="1345"/>
      <c r="D545" s="1345"/>
      <c r="E545" s="1345"/>
      <c r="F545" s="1345"/>
      <c r="G545" s="1345"/>
      <c r="H545" s="1346"/>
      <c r="I545" s="48" t="s">
        <v>422</v>
      </c>
      <c r="J545" s="48"/>
      <c r="K545" s="48"/>
      <c r="L545" s="48"/>
      <c r="M545" s="48"/>
      <c r="N545" s="48"/>
      <c r="O545" s="48"/>
      <c r="P545" s="48"/>
      <c r="Q545" s="48"/>
      <c r="R545" s="48"/>
      <c r="S545" s="48"/>
      <c r="T545" s="48"/>
      <c r="U545" s="48"/>
      <c r="V545" s="48"/>
      <c r="W545" s="48"/>
      <c r="X545" s="48"/>
      <c r="Y545" s="48"/>
      <c r="Z545" s="48"/>
      <c r="AA545" s="48"/>
      <c r="AB545" s="48"/>
      <c r="AC545" s="1317" t="s">
        <v>590</v>
      </c>
      <c r="AD545" s="1301"/>
      <c r="AE545" s="1301"/>
      <c r="AF545" s="1301"/>
      <c r="AG545" s="38" t="s">
        <v>403</v>
      </c>
      <c r="AH545" s="1319"/>
      <c r="AI545" s="1319"/>
      <c r="AJ545" s="1319"/>
      <c r="AK545" s="1320"/>
      <c r="AZ545" s="3"/>
      <c r="BA545" s="3"/>
      <c r="BB545" s="3"/>
      <c r="BC545" s="3"/>
      <c r="BD545" s="3"/>
      <c r="BE545" s="3"/>
      <c r="BF545" s="3"/>
      <c r="BG545" s="3"/>
      <c r="BH545" s="3"/>
      <c r="BI545" s="3"/>
      <c r="BJ545" s="3"/>
      <c r="BK545" s="3"/>
      <c r="BL545" s="3"/>
      <c r="BM545" s="3"/>
      <c r="BN545" s="3" t="s">
        <v>2081</v>
      </c>
    </row>
    <row r="546" spans="1:66" ht="12.95" customHeight="1">
      <c r="B546" s="1344"/>
      <c r="C546" s="1345"/>
      <c r="D546" s="1345"/>
      <c r="E546" s="1345"/>
      <c r="F546" s="1345"/>
      <c r="G546" s="1345"/>
      <c r="H546" s="1346"/>
      <c r="I546" s="42" t="s">
        <v>561</v>
      </c>
      <c r="J546" s="42"/>
      <c r="K546" s="42"/>
      <c r="L546" s="42"/>
      <c r="M546" s="42"/>
      <c r="N546" s="42"/>
      <c r="O546" s="42"/>
      <c r="P546" s="42"/>
      <c r="Q546" s="42"/>
      <c r="R546" s="42"/>
      <c r="S546" s="42"/>
      <c r="T546" s="42"/>
      <c r="U546" s="42"/>
      <c r="V546" s="42"/>
      <c r="W546" s="42"/>
      <c r="AC546" s="1317">
        <v>4</v>
      </c>
      <c r="AD546" s="1301"/>
      <c r="AE546" s="1301"/>
      <c r="AF546" s="1301"/>
      <c r="AG546" s="38" t="s">
        <v>403</v>
      </c>
      <c r="AH546" s="1319">
        <v>2027</v>
      </c>
      <c r="AI546" s="1319"/>
      <c r="AJ546" s="1319"/>
      <c r="AK546" s="1320"/>
      <c r="AZ546" s="3"/>
      <c r="BA546" s="3"/>
      <c r="BB546" s="3"/>
      <c r="BC546" s="3"/>
      <c r="BD546" s="3"/>
      <c r="BE546" s="3"/>
      <c r="BF546" s="3"/>
      <c r="BG546" s="3"/>
      <c r="BH546" s="3"/>
      <c r="BI546" s="3"/>
      <c r="BJ546" s="3"/>
      <c r="BK546" s="3"/>
      <c r="BL546" s="3"/>
      <c r="BM546" s="3"/>
      <c r="BN546" s="3"/>
    </row>
    <row r="547" spans="1:66" ht="12.95" customHeight="1">
      <c r="B547" s="1344"/>
      <c r="C547" s="1345"/>
      <c r="D547" s="1345"/>
      <c r="E547" s="1345"/>
      <c r="F547" s="1345"/>
      <c r="G547" s="1345"/>
      <c r="H547" s="1346"/>
      <c r="I547" t="s">
        <v>562</v>
      </c>
      <c r="AC547" s="1317">
        <v>2</v>
      </c>
      <c r="AD547" s="1301"/>
      <c r="AE547" s="1301"/>
      <c r="AF547" s="1301"/>
      <c r="AG547" s="13" t="s">
        <v>403</v>
      </c>
      <c r="AH547" s="1319">
        <v>2027</v>
      </c>
      <c r="AI547" s="1319"/>
      <c r="AJ547" s="1319"/>
      <c r="AK547" s="1320"/>
      <c r="AZ547" s="3"/>
      <c r="BA547" s="3"/>
      <c r="BB547" s="3"/>
      <c r="BC547" s="3"/>
      <c r="BD547" s="3"/>
      <c r="BE547" s="3"/>
      <c r="BF547" s="3"/>
      <c r="BG547" s="3"/>
      <c r="BH547" s="3"/>
      <c r="BI547" s="3"/>
      <c r="BJ547" s="3"/>
      <c r="BK547" s="3"/>
      <c r="BL547" s="3"/>
      <c r="BM547" s="3"/>
      <c r="BN547" s="3"/>
    </row>
    <row r="548" spans="1:66" ht="12.95" customHeight="1">
      <c r="B548" s="1344"/>
      <c r="C548" s="1345"/>
      <c r="D548" s="1345"/>
      <c r="E548" s="1345"/>
      <c r="F548" s="1345"/>
      <c r="G548" s="1345"/>
      <c r="H548" s="1346"/>
      <c r="I548" t="s">
        <v>563</v>
      </c>
      <c r="AC548" s="1317">
        <v>12</v>
      </c>
      <c r="AD548" s="1301"/>
      <c r="AE548" s="1301"/>
      <c r="AF548" s="1301"/>
      <c r="AG548" s="38" t="s">
        <v>403</v>
      </c>
      <c r="AH548" s="1319">
        <v>2028</v>
      </c>
      <c r="AI548" s="1319"/>
      <c r="AJ548" s="1319"/>
      <c r="AK548" s="1320"/>
      <c r="AZ548" s="3"/>
      <c r="BA548" s="3"/>
      <c r="BB548" s="3"/>
      <c r="BC548" s="3"/>
      <c r="BD548" s="3"/>
      <c r="BE548" s="3"/>
      <c r="BF548" s="3"/>
      <c r="BG548" s="3"/>
      <c r="BH548" s="3"/>
      <c r="BI548" s="3"/>
      <c r="BJ548" s="3"/>
      <c r="BK548" s="3"/>
      <c r="BL548" s="3"/>
      <c r="BM548" s="3"/>
      <c r="BN548" s="3"/>
    </row>
    <row r="549" spans="1:66" ht="12.95" customHeight="1">
      <c r="B549" s="1344"/>
      <c r="C549" s="1345"/>
      <c r="D549" s="1345"/>
      <c r="E549" s="1345"/>
      <c r="F549" s="1345"/>
      <c r="G549" s="1345"/>
      <c r="H549" s="1346"/>
      <c r="I549" t="s">
        <v>564</v>
      </c>
      <c r="AC549" s="1317">
        <v>12</v>
      </c>
      <c r="AD549" s="1301"/>
      <c r="AE549" s="1301"/>
      <c r="AF549" s="1301"/>
      <c r="AG549" s="38" t="s">
        <v>403</v>
      </c>
      <c r="AH549" s="1319">
        <v>2028</v>
      </c>
      <c r="AI549" s="1319"/>
      <c r="AJ549" s="1319"/>
      <c r="AK549" s="1320"/>
      <c r="AZ549" s="3"/>
      <c r="BA549" s="3"/>
      <c r="BB549" s="3"/>
      <c r="BC549" s="3"/>
      <c r="BD549" s="3"/>
      <c r="BE549" s="3"/>
      <c r="BF549" s="3"/>
      <c r="BG549" s="3"/>
      <c r="BH549" s="3"/>
      <c r="BI549" s="3"/>
      <c r="BJ549" s="3"/>
      <c r="BK549" s="3"/>
      <c r="BL549" s="3"/>
      <c r="BM549" s="3"/>
      <c r="BN549" s="3"/>
    </row>
    <row r="550" spans="1:66" ht="12.95" customHeight="1">
      <c r="B550" s="1347"/>
      <c r="C550" s="1348"/>
      <c r="D550" s="1348"/>
      <c r="E550" s="1348"/>
      <c r="F550" s="1348"/>
      <c r="G550" s="1348"/>
      <c r="H550" s="1349"/>
      <c r="I550" s="48" t="s">
        <v>450</v>
      </c>
      <c r="J550" s="48"/>
      <c r="K550" s="48"/>
      <c r="L550" s="48"/>
      <c r="M550" s="48"/>
      <c r="N550" s="48"/>
      <c r="O550" s="48"/>
      <c r="P550" s="48"/>
      <c r="Q550" s="48"/>
      <c r="R550" s="48"/>
      <c r="S550" s="48"/>
      <c r="T550" s="48"/>
      <c r="U550" s="48"/>
      <c r="V550" s="48"/>
      <c r="W550" s="48"/>
      <c r="X550" s="48"/>
      <c r="Y550" s="48"/>
      <c r="Z550" s="48"/>
      <c r="AA550" s="48"/>
      <c r="AB550" s="48"/>
      <c r="AC550" s="1317">
        <v>10</v>
      </c>
      <c r="AD550" s="1301"/>
      <c r="AE550" s="1301"/>
      <c r="AF550" s="1301"/>
      <c r="AG550" s="38" t="s">
        <v>403</v>
      </c>
      <c r="AH550" s="1319">
        <v>2029</v>
      </c>
      <c r="AI550" s="1319"/>
      <c r="AJ550" s="1319"/>
      <c r="AK550" s="132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400" t="s">
        <v>542</v>
      </c>
      <c r="B552" s="1400"/>
      <c r="C552" s="1400"/>
      <c r="D552" s="1400"/>
      <c r="E552" s="1400"/>
      <c r="F552" s="1400"/>
      <c r="G552" s="1400"/>
      <c r="H552" s="1400"/>
      <c r="I552" s="1400"/>
      <c r="J552" s="1400"/>
      <c r="K552" s="1400"/>
      <c r="L552" s="1400"/>
      <c r="M552" s="1400"/>
      <c r="N552" s="1400"/>
      <c r="O552" s="1400"/>
      <c r="P552" s="1400"/>
      <c r="Q552" s="1400"/>
      <c r="R552" s="1400"/>
      <c r="S552" s="1400"/>
      <c r="T552" s="1400"/>
      <c r="U552" s="1400"/>
      <c r="V552" s="1400"/>
      <c r="W552" s="1400"/>
      <c r="X552" s="1400"/>
      <c r="Y552" s="1400"/>
      <c r="Z552" s="1400"/>
      <c r="AA552" s="1400"/>
      <c r="AB552" s="1400"/>
      <c r="AC552" s="1400"/>
      <c r="AD552" s="1400"/>
      <c r="AE552" s="1400"/>
      <c r="AF552" s="1400"/>
      <c r="AG552" s="1400"/>
      <c r="AH552" s="1400"/>
      <c r="AI552" s="1400"/>
      <c r="AJ552" s="1400"/>
      <c r="AK552" s="1400"/>
      <c r="AL552" s="1400"/>
      <c r="AM552" s="1400"/>
      <c r="AN552" s="1400"/>
      <c r="AO552" s="1400"/>
      <c r="AP552" s="1400"/>
      <c r="AQ552" s="1400"/>
      <c r="AR552" s="1400"/>
      <c r="AS552" s="1400"/>
      <c r="AT552" s="1400"/>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400"/>
      <c r="B553" s="1400"/>
      <c r="C553" s="1400"/>
      <c r="D553" s="1400"/>
      <c r="E553" s="1400"/>
      <c r="F553" s="1400"/>
      <c r="G553" s="1400"/>
      <c r="H553" s="1400"/>
      <c r="I553" s="1400"/>
      <c r="J553" s="1400"/>
      <c r="K553" s="1400"/>
      <c r="L553" s="1400"/>
      <c r="M553" s="1400"/>
      <c r="N553" s="1400"/>
      <c r="O553" s="1400"/>
      <c r="P553" s="1400"/>
      <c r="Q553" s="1400"/>
      <c r="R553" s="1400"/>
      <c r="S553" s="1400"/>
      <c r="T553" s="1400"/>
      <c r="U553" s="1400"/>
      <c r="V553" s="1400"/>
      <c r="W553" s="1400"/>
      <c r="X553" s="1400"/>
      <c r="Y553" s="1400"/>
      <c r="Z553" s="1400"/>
      <c r="AA553" s="1400"/>
      <c r="AB553" s="1400"/>
      <c r="AC553" s="1400"/>
      <c r="AD553" s="1400"/>
      <c r="AE553" s="1400"/>
      <c r="AF553" s="1400"/>
      <c r="AG553" s="1400"/>
      <c r="AH553" s="1400"/>
      <c r="AI553" s="1400"/>
      <c r="AJ553" s="1400"/>
      <c r="AK553" s="1400"/>
      <c r="AL553" s="1400"/>
      <c r="AM553" s="1400"/>
      <c r="AN553" s="1400"/>
      <c r="AO553" s="1400"/>
      <c r="AP553" s="1400"/>
      <c r="AQ553" s="1400"/>
      <c r="AR553" s="1400"/>
      <c r="AS553" s="1400"/>
      <c r="AT553" s="1400"/>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41" t="s">
        <v>2055</v>
      </c>
      <c r="C559" s="1342"/>
      <c r="D559" s="1342"/>
      <c r="E559" s="1342"/>
      <c r="F559" s="1342"/>
      <c r="G559" s="1342"/>
      <c r="H559" s="1342"/>
      <c r="I559" s="1342"/>
      <c r="J559" s="1342"/>
      <c r="K559" s="1342"/>
      <c r="L559" s="1343"/>
      <c r="M559" s="1341" t="s">
        <v>2056</v>
      </c>
      <c r="N559" s="1342"/>
      <c r="O559" s="1342"/>
      <c r="P559" s="1343"/>
      <c r="Q559" s="1341" t="s">
        <v>2082</v>
      </c>
      <c r="R559" s="1342"/>
      <c r="S559" s="1343"/>
      <c r="T559" s="1341" t="s">
        <v>2083</v>
      </c>
      <c r="U559" s="1342"/>
      <c r="V559" s="1343"/>
      <c r="W559" s="1341" t="s">
        <v>452</v>
      </c>
      <c r="X559" s="1342"/>
      <c r="Y559" s="1343"/>
      <c r="Z559" s="1341" t="s">
        <v>1825</v>
      </c>
      <c r="AA559" s="1342"/>
      <c r="AB559" s="1342"/>
      <c r="AC559" s="1342"/>
      <c r="AD559" s="1343"/>
      <c r="AE559" s="1341" t="s">
        <v>1663</v>
      </c>
      <c r="AF559" s="1342"/>
      <c r="AG559" s="1342"/>
      <c r="AH559" s="1343"/>
      <c r="AI559" s="1341" t="s">
        <v>1664</v>
      </c>
      <c r="AJ559" s="1342"/>
      <c r="AK559" s="1342"/>
      <c r="AL559" s="1343"/>
      <c r="AM559" s="1341" t="s">
        <v>453</v>
      </c>
      <c r="AN559" s="1342"/>
      <c r="AO559" s="1342"/>
      <c r="AP559" s="1342"/>
      <c r="AQ559" s="1342"/>
      <c r="AR559" s="1342"/>
      <c r="AS559" s="1343"/>
      <c r="BB559" s="3"/>
      <c r="BC559" s="3"/>
      <c r="BD559" s="3"/>
      <c r="BE559" s="3"/>
      <c r="BF559" s="3"/>
      <c r="BG559" s="3"/>
      <c r="BH559" s="3" t="s">
        <v>580</v>
      </c>
      <c r="BI559" s="3" t="str">
        <f>AG665</f>
        <v>Yes</v>
      </c>
    </row>
    <row r="560" spans="1:66" ht="12.95" customHeight="1">
      <c r="B560" s="1344"/>
      <c r="C560" s="1345"/>
      <c r="D560" s="1345"/>
      <c r="E560" s="1345"/>
      <c r="F560" s="1345"/>
      <c r="G560" s="1345"/>
      <c r="H560" s="1345"/>
      <c r="I560" s="1345"/>
      <c r="J560" s="1345"/>
      <c r="K560" s="1345"/>
      <c r="L560" s="1346"/>
      <c r="M560" s="1344"/>
      <c r="N560" s="1345"/>
      <c r="O560" s="1345"/>
      <c r="P560" s="1346"/>
      <c r="Q560" s="1344"/>
      <c r="R560" s="1345"/>
      <c r="S560" s="1346"/>
      <c r="T560" s="1344"/>
      <c r="U560" s="1345"/>
      <c r="V560" s="1346"/>
      <c r="W560" s="1344"/>
      <c r="X560" s="1345"/>
      <c r="Y560" s="1346"/>
      <c r="Z560" s="1344"/>
      <c r="AA560" s="1345"/>
      <c r="AB560" s="1345"/>
      <c r="AC560" s="1345"/>
      <c r="AD560" s="1346"/>
      <c r="AE560" s="1344"/>
      <c r="AF560" s="1345"/>
      <c r="AG560" s="1345"/>
      <c r="AH560" s="1346"/>
      <c r="AI560" s="1344"/>
      <c r="AJ560" s="1345"/>
      <c r="AK560" s="1345"/>
      <c r="AL560" s="1346"/>
      <c r="AM560" s="1344"/>
      <c r="AN560" s="1345"/>
      <c r="AO560" s="1345"/>
      <c r="AP560" s="1345"/>
      <c r="AQ560" s="1345"/>
      <c r="AR560" s="1345"/>
      <c r="AS560" s="1346"/>
      <c r="AU560" s="1141"/>
      <c r="BB560" s="3"/>
      <c r="BC560" s="3"/>
      <c r="BD560" s="3"/>
      <c r="BE560" s="3"/>
      <c r="BF560" s="3"/>
      <c r="BG560" s="3"/>
      <c r="BH560" s="3"/>
      <c r="BI560" s="3"/>
    </row>
    <row r="561" spans="1:61" ht="12.95" customHeight="1">
      <c r="B561" s="1347"/>
      <c r="C561" s="1348"/>
      <c r="D561" s="1348"/>
      <c r="E561" s="1348"/>
      <c r="F561" s="1348"/>
      <c r="G561" s="1348"/>
      <c r="H561" s="1348"/>
      <c r="I561" s="1348"/>
      <c r="J561" s="1348"/>
      <c r="K561" s="1348"/>
      <c r="L561" s="1349"/>
      <c r="M561" s="1347"/>
      <c r="N561" s="1348"/>
      <c r="O561" s="1348"/>
      <c r="P561" s="1349"/>
      <c r="Q561" s="1347"/>
      <c r="R561" s="1348"/>
      <c r="S561" s="1349"/>
      <c r="T561" s="1347"/>
      <c r="U561" s="1348"/>
      <c r="V561" s="1349"/>
      <c r="W561" s="1347"/>
      <c r="X561" s="1348"/>
      <c r="Y561" s="1349"/>
      <c r="Z561" s="1347"/>
      <c r="AA561" s="1348"/>
      <c r="AB561" s="1348"/>
      <c r="AC561" s="1348"/>
      <c r="AD561" s="1349"/>
      <c r="AE561" s="1347"/>
      <c r="AF561" s="1348"/>
      <c r="AG561" s="1348"/>
      <c r="AH561" s="1349"/>
      <c r="AI561" s="1347"/>
      <c r="AJ561" s="1348"/>
      <c r="AK561" s="1348"/>
      <c r="AL561" s="1349"/>
      <c r="AM561" s="1347"/>
      <c r="AN561" s="1348"/>
      <c r="AO561" s="1348"/>
      <c r="AP561" s="1348"/>
      <c r="AQ561" s="1348"/>
      <c r="AR561" s="1348"/>
      <c r="AS561" s="1349"/>
      <c r="AU561" s="1141"/>
      <c r="BB561" s="3"/>
      <c r="BC561" s="3"/>
      <c r="BD561" s="3"/>
      <c r="BE561" s="3"/>
      <c r="BF561" s="3"/>
      <c r="BG561" s="3"/>
      <c r="BH561" s="3"/>
      <c r="BI561" s="3"/>
    </row>
    <row r="562" spans="1:61" ht="12.95" customHeight="1">
      <c r="B562" s="51" t="s">
        <v>112</v>
      </c>
      <c r="C562" s="1412" t="s">
        <v>2724</v>
      </c>
      <c r="D562" s="1412"/>
      <c r="E562" s="1412"/>
      <c r="F562" s="1412"/>
      <c r="G562" s="1412"/>
      <c r="H562" s="1412"/>
      <c r="I562" s="1412"/>
      <c r="J562" s="1412"/>
      <c r="K562" s="1412"/>
      <c r="L562" s="1412"/>
      <c r="M562" s="1412" t="s">
        <v>2072</v>
      </c>
      <c r="N562" s="1412"/>
      <c r="O562" s="1412"/>
      <c r="P562" s="1412"/>
      <c r="Q562" s="1363">
        <v>36</v>
      </c>
      <c r="R562" s="1363"/>
      <c r="S562" s="1364"/>
      <c r="T562" s="1362"/>
      <c r="U562" s="1363"/>
      <c r="V562" s="1364"/>
      <c r="W562" s="1377">
        <v>5.4999999999999993E-2</v>
      </c>
      <c r="X562" s="1378"/>
      <c r="Y562" s="1379"/>
      <c r="Z562" s="1318" t="s">
        <v>2740</v>
      </c>
      <c r="AA562" s="1318"/>
      <c r="AB562" s="1318"/>
      <c r="AC562" s="1318"/>
      <c r="AD562" s="1318"/>
      <c r="AE562" s="1374"/>
      <c r="AF562" s="1375"/>
      <c r="AG562" s="1375"/>
      <c r="AH562" s="1376"/>
      <c r="AI562" s="1358"/>
      <c r="AJ562" s="1359"/>
      <c r="AK562" s="1359"/>
      <c r="AL562" s="1360"/>
      <c r="AM562" s="1355">
        <v>15654500</v>
      </c>
      <c r="AN562" s="1356"/>
      <c r="AO562" s="1356"/>
      <c r="AP562" s="1356"/>
      <c r="AQ562" s="1356"/>
      <c r="AR562" s="1356"/>
      <c r="AS562" s="1357"/>
      <c r="AT562" s="1142"/>
      <c r="AU562" s="1141"/>
      <c r="BB562" s="3"/>
      <c r="BC562" s="3"/>
      <c r="BD562" s="3"/>
      <c r="BE562" s="3"/>
      <c r="BF562" s="3"/>
      <c r="BG562" s="3"/>
      <c r="BH562" s="3"/>
      <c r="BI562" s="3"/>
    </row>
    <row r="563" spans="1:61" ht="12.95" customHeight="1">
      <c r="B563" s="52" t="s">
        <v>113</v>
      </c>
      <c r="C563" s="1413" t="s">
        <v>2725</v>
      </c>
      <c r="D563" s="1413"/>
      <c r="E563" s="1413"/>
      <c r="F563" s="1413"/>
      <c r="G563" s="1413"/>
      <c r="H563" s="1413"/>
      <c r="I563" s="1413"/>
      <c r="J563" s="1413"/>
      <c r="K563" s="1413"/>
      <c r="L563" s="1413"/>
      <c r="M563" s="1412" t="s">
        <v>2071</v>
      </c>
      <c r="N563" s="1412"/>
      <c r="O563" s="1412"/>
      <c r="P563" s="1412"/>
      <c r="Q563" s="1362">
        <v>36</v>
      </c>
      <c r="R563" s="1363"/>
      <c r="S563" s="1364"/>
      <c r="T563" s="1362"/>
      <c r="U563" s="1363"/>
      <c r="V563" s="1364"/>
      <c r="W563" s="1377">
        <v>6.3E-2</v>
      </c>
      <c r="X563" s="1378"/>
      <c r="Y563" s="1379"/>
      <c r="Z563" s="1318" t="s">
        <v>2740</v>
      </c>
      <c r="AA563" s="1318"/>
      <c r="AB563" s="1318"/>
      <c r="AC563" s="1318"/>
      <c r="AD563" s="1318"/>
      <c r="AE563" s="1374"/>
      <c r="AF563" s="1375"/>
      <c r="AG563" s="1375"/>
      <c r="AH563" s="1376"/>
      <c r="AI563" s="1358"/>
      <c r="AJ563" s="1359"/>
      <c r="AK563" s="1359"/>
      <c r="AL563" s="1360"/>
      <c r="AM563" s="1355">
        <v>31500000</v>
      </c>
      <c r="AN563" s="1356"/>
      <c r="AO563" s="1356"/>
      <c r="AP563" s="1356"/>
      <c r="AQ563" s="1356"/>
      <c r="AR563" s="1356"/>
      <c r="AS563" s="1357"/>
      <c r="AT563" s="1142" t="str">
        <f t="shared" ref="AT563:AT573" si="2">IF(AND(NOT(C562=""),C563="",NOT(C564="")),"!","")</f>
        <v/>
      </c>
      <c r="AU563" s="1141"/>
      <c r="BB563" s="3"/>
      <c r="BC563" s="3"/>
      <c r="BD563" s="3"/>
      <c r="BE563" s="3"/>
      <c r="BF563" s="3"/>
      <c r="BG563" s="3"/>
      <c r="BH563" s="3"/>
      <c r="BI563" s="3"/>
    </row>
    <row r="564" spans="1:61" ht="12.95" customHeight="1">
      <c r="B564" s="52" t="s">
        <v>119</v>
      </c>
      <c r="C564" s="1413" t="s">
        <v>2726</v>
      </c>
      <c r="D564" s="1413"/>
      <c r="E564" s="1413"/>
      <c r="F564" s="1413"/>
      <c r="G564" s="1413"/>
      <c r="H564" s="1413"/>
      <c r="I564" s="1413"/>
      <c r="J564" s="1413"/>
      <c r="K564" s="1413"/>
      <c r="L564" s="1413"/>
      <c r="M564" s="1412" t="s">
        <v>2075</v>
      </c>
      <c r="N564" s="1412"/>
      <c r="O564" s="1412"/>
      <c r="P564" s="1412"/>
      <c r="Q564" s="1362">
        <v>1188</v>
      </c>
      <c r="R564" s="1363"/>
      <c r="S564" s="1364"/>
      <c r="T564" s="1362"/>
      <c r="U564" s="1363"/>
      <c r="V564" s="1364"/>
      <c r="W564" s="1377">
        <v>5.2499999999999998E-2</v>
      </c>
      <c r="X564" s="1378"/>
      <c r="Y564" s="1379"/>
      <c r="Z564" s="1318" t="s">
        <v>2741</v>
      </c>
      <c r="AA564" s="1318"/>
      <c r="AB564" s="1318"/>
      <c r="AC564" s="1318"/>
      <c r="AD564" s="1318"/>
      <c r="AE564" s="1374"/>
      <c r="AF564" s="1375"/>
      <c r="AG564" s="1375"/>
      <c r="AH564" s="1376"/>
      <c r="AI564" s="1358"/>
      <c r="AJ564" s="1359"/>
      <c r="AK564" s="1359"/>
      <c r="AL564" s="1360"/>
      <c r="AM564" s="1355">
        <v>6850000</v>
      </c>
      <c r="AN564" s="1356"/>
      <c r="AO564" s="1356"/>
      <c r="AP564" s="1356"/>
      <c r="AQ564" s="1356"/>
      <c r="AR564" s="1356"/>
      <c r="AS564" s="1357"/>
      <c r="AT564" s="1142" t="str">
        <f t="shared" si="2"/>
        <v/>
      </c>
      <c r="AU564" s="1141"/>
      <c r="BB564" s="3"/>
      <c r="BC564" s="3"/>
      <c r="BD564" s="3"/>
      <c r="BE564" s="3"/>
      <c r="BF564" s="3"/>
      <c r="BG564" s="3"/>
      <c r="BH564" s="3"/>
      <c r="BI564" s="3"/>
    </row>
    <row r="565" spans="1:61" ht="12.95" customHeight="1">
      <c r="B565" s="52" t="s">
        <v>580</v>
      </c>
      <c r="C565" s="1413" t="s">
        <v>2727</v>
      </c>
      <c r="D565" s="1413"/>
      <c r="E565" s="1413"/>
      <c r="F565" s="1413"/>
      <c r="G565" s="1413"/>
      <c r="H565" s="1413"/>
      <c r="I565" s="1413"/>
      <c r="J565" s="1413"/>
      <c r="K565" s="1413"/>
      <c r="L565" s="1413"/>
      <c r="M565" s="1412" t="s">
        <v>2063</v>
      </c>
      <c r="N565" s="1412"/>
      <c r="O565" s="1412"/>
      <c r="P565" s="1412"/>
      <c r="Q565" s="1362"/>
      <c r="R565" s="1363"/>
      <c r="S565" s="1364"/>
      <c r="T565" s="1362"/>
      <c r="U565" s="1363"/>
      <c r="V565" s="1364"/>
      <c r="W565" s="1377"/>
      <c r="X565" s="1378"/>
      <c r="Y565" s="1379"/>
      <c r="Z565" s="1318" t="s">
        <v>590</v>
      </c>
      <c r="AA565" s="1318"/>
      <c r="AB565" s="1318"/>
      <c r="AC565" s="1318"/>
      <c r="AD565" s="1318"/>
      <c r="AE565" s="1374"/>
      <c r="AF565" s="1375"/>
      <c r="AG565" s="1375"/>
      <c r="AH565" s="1376"/>
      <c r="AI565" s="1358"/>
      <c r="AJ565" s="1359"/>
      <c r="AK565" s="1359"/>
      <c r="AL565" s="1360"/>
      <c r="AM565" s="1355">
        <v>2346953.1300000004</v>
      </c>
      <c r="AN565" s="1356"/>
      <c r="AO565" s="1356"/>
      <c r="AP565" s="1356"/>
      <c r="AQ565" s="1356"/>
      <c r="AR565" s="1356"/>
      <c r="AS565" s="1357"/>
      <c r="AT565" s="1142" t="str">
        <f t="shared" si="2"/>
        <v/>
      </c>
      <c r="AU565" s="1141"/>
      <c r="BB565" s="3"/>
      <c r="BC565" s="3"/>
      <c r="BD565" s="3"/>
      <c r="BE565" s="3"/>
      <c r="BF565" s="3"/>
      <c r="BG565" s="3"/>
      <c r="BH565" s="3"/>
      <c r="BI565" s="3"/>
    </row>
    <row r="566" spans="1:61" ht="12.95" customHeight="1">
      <c r="B566" s="52" t="s">
        <v>762</v>
      </c>
      <c r="C566" s="1413" t="s">
        <v>2728</v>
      </c>
      <c r="D566" s="1413"/>
      <c r="E566" s="1413"/>
      <c r="F566" s="1413"/>
      <c r="G566" s="1413"/>
      <c r="H566" s="1413"/>
      <c r="I566" s="1413"/>
      <c r="J566" s="1413"/>
      <c r="K566" s="1413"/>
      <c r="L566" s="1413"/>
      <c r="M566" s="1412" t="s">
        <v>2063</v>
      </c>
      <c r="N566" s="1412"/>
      <c r="O566" s="1412"/>
      <c r="P566" s="1412"/>
      <c r="Q566" s="1362"/>
      <c r="R566" s="1363"/>
      <c r="S566" s="1364"/>
      <c r="T566" s="1362"/>
      <c r="U566" s="1363"/>
      <c r="V566" s="1364"/>
      <c r="W566" s="1377"/>
      <c r="X566" s="1378"/>
      <c r="Y566" s="1379"/>
      <c r="Z566" s="1318" t="s">
        <v>590</v>
      </c>
      <c r="AA566" s="1318"/>
      <c r="AB566" s="1318"/>
      <c r="AC566" s="1318"/>
      <c r="AD566" s="1318"/>
      <c r="AE566" s="1374"/>
      <c r="AF566" s="1375"/>
      <c r="AG566" s="1375"/>
      <c r="AH566" s="1376"/>
      <c r="AI566" s="1358"/>
      <c r="AJ566" s="1359"/>
      <c r="AK566" s="1359"/>
      <c r="AL566" s="1360"/>
      <c r="AM566" s="1355">
        <v>1204000</v>
      </c>
      <c r="AN566" s="1356"/>
      <c r="AO566" s="1356"/>
      <c r="AP566" s="1356"/>
      <c r="AQ566" s="1356"/>
      <c r="AR566" s="1356"/>
      <c r="AS566" s="1357"/>
      <c r="AT566" s="1142" t="str">
        <f t="shared" si="2"/>
        <v/>
      </c>
      <c r="AU566" s="1141"/>
      <c r="BB566" s="3"/>
      <c r="BC566" s="3"/>
      <c r="BD566" s="3"/>
      <c r="BE566" s="3"/>
      <c r="BF566" s="3"/>
      <c r="BG566" s="3"/>
      <c r="BH566" s="3" t="s">
        <v>762</v>
      </c>
      <c r="BI566" s="3" t="str">
        <f>N673</f>
        <v>No</v>
      </c>
    </row>
    <row r="567" spans="1:61" ht="12.95" customHeight="1">
      <c r="B567" s="52" t="s">
        <v>583</v>
      </c>
      <c r="C567" s="1413" t="s">
        <v>2729</v>
      </c>
      <c r="D567" s="1413"/>
      <c r="E567" s="1413"/>
      <c r="F567" s="1413"/>
      <c r="G567" s="1413"/>
      <c r="H567" s="1413"/>
      <c r="I567" s="1413"/>
      <c r="J567" s="1413"/>
      <c r="K567" s="1413"/>
      <c r="L567" s="1413"/>
      <c r="M567" s="1412" t="s">
        <v>2075</v>
      </c>
      <c r="N567" s="1412"/>
      <c r="O567" s="1412"/>
      <c r="P567" s="1412"/>
      <c r="Q567" s="1362"/>
      <c r="R567" s="1363"/>
      <c r="S567" s="1364"/>
      <c r="T567" s="1362"/>
      <c r="U567" s="1363"/>
      <c r="V567" s="1364"/>
      <c r="W567" s="1377"/>
      <c r="X567" s="1378"/>
      <c r="Y567" s="1379"/>
      <c r="Z567" s="1318" t="s">
        <v>590</v>
      </c>
      <c r="AA567" s="1318"/>
      <c r="AB567" s="1318"/>
      <c r="AC567" s="1318"/>
      <c r="AD567" s="1318"/>
      <c r="AE567" s="1374"/>
      <c r="AF567" s="1375"/>
      <c r="AG567" s="1375"/>
      <c r="AH567" s="1376"/>
      <c r="AI567" s="1358"/>
      <c r="AJ567" s="1359"/>
      <c r="AK567" s="1359"/>
      <c r="AL567" s="1360"/>
      <c r="AM567" s="1355">
        <v>831202.01587846689</v>
      </c>
      <c r="AN567" s="1356"/>
      <c r="AO567" s="1356"/>
      <c r="AP567" s="1356"/>
      <c r="AQ567" s="1356"/>
      <c r="AR567" s="1356"/>
      <c r="AS567" s="1357"/>
      <c r="AT567" s="1142" t="str">
        <f t="shared" si="2"/>
        <v/>
      </c>
      <c r="AU567" s="1141"/>
      <c r="BB567" s="3"/>
      <c r="BC567" s="3"/>
      <c r="BD567" s="3"/>
      <c r="BE567" s="3"/>
      <c r="BF567" s="3"/>
      <c r="BG567" s="3"/>
      <c r="BH567" s="3" t="s">
        <v>583</v>
      </c>
      <c r="BI567" s="3" t="str">
        <f>AG673</f>
        <v>No</v>
      </c>
    </row>
    <row r="568" spans="1:61" ht="12.95" customHeight="1">
      <c r="B568" s="52" t="s">
        <v>454</v>
      </c>
      <c r="C568" s="1413" t="s">
        <v>2765</v>
      </c>
      <c r="D568" s="1413"/>
      <c r="E568" s="1413"/>
      <c r="F568" s="1413"/>
      <c r="G568" s="1413"/>
      <c r="H568" s="1413"/>
      <c r="I568" s="1413"/>
      <c r="J568" s="1413"/>
      <c r="K568" s="1413"/>
      <c r="L568" s="1413"/>
      <c r="M568" s="1412" t="s">
        <v>2059</v>
      </c>
      <c r="N568" s="1412"/>
      <c r="O568" s="1412"/>
      <c r="P568" s="1412"/>
      <c r="Q568" s="1362"/>
      <c r="R568" s="1363"/>
      <c r="S568" s="1364"/>
      <c r="T568" s="1362"/>
      <c r="U568" s="1363"/>
      <c r="V568" s="1364"/>
      <c r="W568" s="1377"/>
      <c r="X568" s="1378"/>
      <c r="Y568" s="1379"/>
      <c r="Z568" s="1318" t="s">
        <v>590</v>
      </c>
      <c r="AA568" s="1318"/>
      <c r="AB568" s="1318"/>
      <c r="AC568" s="1318"/>
      <c r="AD568" s="1318"/>
      <c r="AE568" s="1374"/>
      <c r="AF568" s="1375"/>
      <c r="AG568" s="1375"/>
      <c r="AH568" s="1376"/>
      <c r="AI568" s="1358"/>
      <c r="AJ568" s="1359"/>
      <c r="AK568" s="1359"/>
      <c r="AL568" s="1360"/>
      <c r="AM568" s="1355">
        <v>5702529</v>
      </c>
      <c r="AN568" s="1356"/>
      <c r="AO568" s="1356"/>
      <c r="AP568" s="1356"/>
      <c r="AQ568" s="1356"/>
      <c r="AR568" s="1356"/>
      <c r="AS568" s="1357"/>
      <c r="AT568" s="1142" t="str">
        <f t="shared" si="2"/>
        <v/>
      </c>
      <c r="AU568" s="1141"/>
      <c r="BB568" s="3"/>
      <c r="BC568" s="3"/>
      <c r="BD568" s="3"/>
      <c r="BE568" s="3"/>
      <c r="BF568" s="3"/>
      <c r="BG568" s="3"/>
      <c r="BH568" s="3"/>
      <c r="BI568" s="3"/>
    </row>
    <row r="569" spans="1:61" ht="12.95" customHeight="1">
      <c r="B569" s="52" t="s">
        <v>455</v>
      </c>
      <c r="C569" s="1413"/>
      <c r="D569" s="1413"/>
      <c r="E569" s="1413"/>
      <c r="F569" s="1413"/>
      <c r="G569" s="1413"/>
      <c r="H569" s="1413"/>
      <c r="I569" s="1413"/>
      <c r="J569" s="1413"/>
      <c r="K569" s="1413"/>
      <c r="L569" s="1413"/>
      <c r="M569" s="1412" t="s">
        <v>1182</v>
      </c>
      <c r="N569" s="1412"/>
      <c r="O569" s="1412"/>
      <c r="P569" s="1412"/>
      <c r="Q569" s="1362"/>
      <c r="R569" s="1363"/>
      <c r="S569" s="1364"/>
      <c r="T569" s="1362"/>
      <c r="U569" s="1363"/>
      <c r="V569" s="1364"/>
      <c r="W569" s="1377"/>
      <c r="X569" s="1378"/>
      <c r="Y569" s="1379"/>
      <c r="Z569" s="1318" t="s">
        <v>1182</v>
      </c>
      <c r="AA569" s="1318"/>
      <c r="AB569" s="1318"/>
      <c r="AC569" s="1318"/>
      <c r="AD569" s="1318"/>
      <c r="AE569" s="1374"/>
      <c r="AF569" s="1375"/>
      <c r="AG569" s="1375"/>
      <c r="AH569" s="1376"/>
      <c r="AI569" s="1358"/>
      <c r="AJ569" s="1359"/>
      <c r="AK569" s="1359"/>
      <c r="AL569" s="1360"/>
      <c r="AM569" s="1355"/>
      <c r="AN569" s="1356"/>
      <c r="AO569" s="1356"/>
      <c r="AP569" s="1356"/>
      <c r="AQ569" s="1356"/>
      <c r="AR569" s="1356"/>
      <c r="AS569" s="1357"/>
      <c r="AT569" s="1142" t="str">
        <f t="shared" si="2"/>
        <v/>
      </c>
      <c r="AU569" s="1141"/>
      <c r="BB569" s="3"/>
      <c r="BC569" s="3"/>
      <c r="BD569" s="3"/>
      <c r="BE569" s="3"/>
      <c r="BF569" s="3"/>
      <c r="BG569" s="3"/>
      <c r="BH569" s="3"/>
      <c r="BI569" s="3"/>
    </row>
    <row r="570" spans="1:61" ht="12.95" customHeight="1">
      <c r="B570" s="52" t="s">
        <v>460</v>
      </c>
      <c r="C570" s="1413"/>
      <c r="D570" s="1413"/>
      <c r="E570" s="1413"/>
      <c r="F570" s="1413"/>
      <c r="G570" s="1413"/>
      <c r="H570" s="1413"/>
      <c r="I570" s="1413"/>
      <c r="J570" s="1413"/>
      <c r="K570" s="1413"/>
      <c r="L570" s="1413"/>
      <c r="M570" s="1412" t="s">
        <v>1182</v>
      </c>
      <c r="N570" s="1412"/>
      <c r="O570" s="1412"/>
      <c r="P570" s="1412"/>
      <c r="Q570" s="1362"/>
      <c r="R570" s="1363"/>
      <c r="S570" s="1364"/>
      <c r="T570" s="1362"/>
      <c r="U570" s="1363"/>
      <c r="V570" s="1364"/>
      <c r="W570" s="1377"/>
      <c r="X570" s="1378"/>
      <c r="Y570" s="1379"/>
      <c r="Z570" s="1318" t="s">
        <v>1182</v>
      </c>
      <c r="AA570" s="1318"/>
      <c r="AB570" s="1318"/>
      <c r="AC570" s="1318"/>
      <c r="AD570" s="1318"/>
      <c r="AE570" s="1374"/>
      <c r="AF570" s="1375"/>
      <c r="AG570" s="1375"/>
      <c r="AH570" s="1376"/>
      <c r="AI570" s="1358"/>
      <c r="AJ570" s="1359"/>
      <c r="AK570" s="1359"/>
      <c r="AL570" s="1360"/>
      <c r="AM570" s="1355"/>
      <c r="AN570" s="1356"/>
      <c r="AO570" s="1356"/>
      <c r="AP570" s="1356"/>
      <c r="AQ570" s="1356"/>
      <c r="AR570" s="1356"/>
      <c r="AS570" s="1357"/>
      <c r="AT570" s="1142" t="str">
        <f t="shared" si="2"/>
        <v/>
      </c>
      <c r="AU570" s="1141"/>
      <c r="BB570" s="3"/>
      <c r="BC570" s="3"/>
      <c r="BD570" s="3"/>
      <c r="BE570" s="3"/>
      <c r="BF570" s="3"/>
      <c r="BG570" s="3"/>
      <c r="BH570" s="3"/>
      <c r="BI570" s="3"/>
    </row>
    <row r="571" spans="1:61" ht="12.95" customHeight="1">
      <c r="B571" s="52" t="s">
        <v>645</v>
      </c>
      <c r="C571" s="1413"/>
      <c r="D571" s="1413"/>
      <c r="E571" s="1413"/>
      <c r="F571" s="1413"/>
      <c r="G571" s="1413"/>
      <c r="H571" s="1413"/>
      <c r="I571" s="1413"/>
      <c r="J571" s="1413"/>
      <c r="K571" s="1413"/>
      <c r="L571" s="1413"/>
      <c r="M571" s="1412" t="s">
        <v>1182</v>
      </c>
      <c r="N571" s="1412"/>
      <c r="O571" s="1412"/>
      <c r="P571" s="1412"/>
      <c r="Q571" s="1362"/>
      <c r="R571" s="1363"/>
      <c r="S571" s="1364"/>
      <c r="T571" s="1362"/>
      <c r="U571" s="1363"/>
      <c r="V571" s="1364"/>
      <c r="W571" s="1377"/>
      <c r="X571" s="1378"/>
      <c r="Y571" s="1379"/>
      <c r="Z571" s="1318" t="s">
        <v>1182</v>
      </c>
      <c r="AA571" s="1318"/>
      <c r="AB571" s="1318"/>
      <c r="AC571" s="1318"/>
      <c r="AD571" s="1318"/>
      <c r="AE571" s="1374"/>
      <c r="AF571" s="1375"/>
      <c r="AG571" s="1375"/>
      <c r="AH571" s="1376"/>
      <c r="AI571" s="1358"/>
      <c r="AJ571" s="1359"/>
      <c r="AK571" s="1359"/>
      <c r="AL571" s="1360"/>
      <c r="AM571" s="1355"/>
      <c r="AN571" s="1356"/>
      <c r="AO571" s="1356"/>
      <c r="AP571" s="1356"/>
      <c r="AQ571" s="1356"/>
      <c r="AR571" s="1356"/>
      <c r="AS571" s="1357"/>
      <c r="AT571" s="1142" t="str">
        <f t="shared" si="2"/>
        <v/>
      </c>
      <c r="BB571" s="3"/>
      <c r="BC571" s="3"/>
      <c r="BD571" s="3"/>
      <c r="BE571" s="3"/>
      <c r="BF571" s="3"/>
      <c r="BG571" s="3"/>
      <c r="BH571" s="3"/>
      <c r="BI571" s="3"/>
    </row>
    <row r="572" spans="1:61" ht="12.95" customHeight="1">
      <c r="B572" s="52" t="s">
        <v>362</v>
      </c>
      <c r="C572" s="1413"/>
      <c r="D572" s="1413"/>
      <c r="E572" s="1413"/>
      <c r="F572" s="1413"/>
      <c r="G572" s="1413"/>
      <c r="H572" s="1413"/>
      <c r="I572" s="1413"/>
      <c r="J572" s="1413"/>
      <c r="K572" s="1413"/>
      <c r="L572" s="1413"/>
      <c r="M572" s="1412" t="s">
        <v>1182</v>
      </c>
      <c r="N572" s="1412"/>
      <c r="O572" s="1412"/>
      <c r="P572" s="1412"/>
      <c r="Q572" s="1362"/>
      <c r="R572" s="1363"/>
      <c r="S572" s="1364"/>
      <c r="T572" s="1362"/>
      <c r="U572" s="1363"/>
      <c r="V572" s="1364"/>
      <c r="W572" s="1377"/>
      <c r="X572" s="1378"/>
      <c r="Y572" s="1379"/>
      <c r="Z572" s="1318" t="s">
        <v>1182</v>
      </c>
      <c r="AA572" s="1318"/>
      <c r="AB572" s="1318"/>
      <c r="AC572" s="1318"/>
      <c r="AD572" s="1318"/>
      <c r="AE572" s="1374"/>
      <c r="AF572" s="1375"/>
      <c r="AG572" s="1375"/>
      <c r="AH572" s="1376"/>
      <c r="AI572" s="1358"/>
      <c r="AJ572" s="1359"/>
      <c r="AK572" s="1359"/>
      <c r="AL572" s="1360"/>
      <c r="AM572" s="1355"/>
      <c r="AN572" s="1356"/>
      <c r="AO572" s="1356"/>
      <c r="AP572" s="1356"/>
      <c r="AQ572" s="1356"/>
      <c r="AR572" s="1356"/>
      <c r="AS572" s="1357"/>
      <c r="AT572" s="1142" t="str">
        <f t="shared" si="2"/>
        <v/>
      </c>
      <c r="BB572" s="3"/>
      <c r="BC572" s="3"/>
      <c r="BD572" s="3"/>
      <c r="BE572" s="3"/>
      <c r="BF572" s="3"/>
      <c r="BG572" s="3"/>
      <c r="BH572" s="3"/>
      <c r="BI572" s="3"/>
    </row>
    <row r="573" spans="1:61" ht="12.95" customHeight="1">
      <c r="B573" s="52" t="s">
        <v>363</v>
      </c>
      <c r="C573" s="1413"/>
      <c r="D573" s="1413"/>
      <c r="E573" s="1413"/>
      <c r="F573" s="1413"/>
      <c r="G573" s="1413"/>
      <c r="H573" s="1413"/>
      <c r="I573" s="1413"/>
      <c r="J573" s="1413"/>
      <c r="K573" s="1413"/>
      <c r="L573" s="1413"/>
      <c r="M573" s="1412" t="s">
        <v>1182</v>
      </c>
      <c r="N573" s="1412"/>
      <c r="O573" s="1412"/>
      <c r="P573" s="1412"/>
      <c r="Q573" s="1362"/>
      <c r="R573" s="1363"/>
      <c r="S573" s="1364"/>
      <c r="T573" s="1362"/>
      <c r="U573" s="1363"/>
      <c r="V573" s="1364"/>
      <c r="W573" s="1377"/>
      <c r="X573" s="1378"/>
      <c r="Y573" s="1379"/>
      <c r="Z573" s="1318" t="s">
        <v>1182</v>
      </c>
      <c r="AA573" s="1318"/>
      <c r="AB573" s="1318"/>
      <c r="AC573" s="1318"/>
      <c r="AD573" s="1318"/>
      <c r="AE573" s="1374"/>
      <c r="AF573" s="1375"/>
      <c r="AG573" s="1375"/>
      <c r="AH573" s="1376"/>
      <c r="AI573" s="1358"/>
      <c r="AJ573" s="1359"/>
      <c r="AK573" s="1359"/>
      <c r="AL573" s="1360"/>
      <c r="AM573" s="1355"/>
      <c r="AN573" s="1356"/>
      <c r="AO573" s="1356"/>
      <c r="AP573" s="1356"/>
      <c r="AQ573" s="1356"/>
      <c r="AR573" s="1356"/>
      <c r="AS573" s="1357"/>
      <c r="AT573" s="1142" t="str">
        <f t="shared" si="2"/>
        <v/>
      </c>
      <c r="BB573" s="3"/>
      <c r="BC573" s="3"/>
      <c r="BD573" s="3"/>
      <c r="BE573" s="3"/>
      <c r="BF573" s="3"/>
      <c r="BG573" s="3"/>
      <c r="BH573" s="3"/>
      <c r="BI573" s="3"/>
    </row>
    <row r="574" spans="1:61" ht="12.95" customHeight="1">
      <c r="B574" s="1520" t="s">
        <v>127</v>
      </c>
      <c r="C574" s="1521"/>
      <c r="D574" s="1521"/>
      <c r="E574" s="1521"/>
      <c r="F574" s="1521"/>
      <c r="G574" s="1521"/>
      <c r="H574" s="1521"/>
      <c r="I574" s="1521"/>
      <c r="J574" s="1521"/>
      <c r="K574" s="1521"/>
      <c r="L574" s="1521"/>
      <c r="M574" s="1521"/>
      <c r="N574" s="1521"/>
      <c r="O574" s="1521"/>
      <c r="P574" s="1521"/>
      <c r="Q574" s="1521"/>
      <c r="R574" s="1521"/>
      <c r="S574" s="1521"/>
      <c r="T574" s="1521"/>
      <c r="U574" s="1522"/>
      <c r="V574" s="1521"/>
      <c r="W574" s="1521"/>
      <c r="X574" s="1521"/>
      <c r="Y574" s="1521"/>
      <c r="Z574" s="1521"/>
      <c r="AA574" s="1521"/>
      <c r="AB574" s="1521"/>
      <c r="AC574" s="1521"/>
      <c r="AD574" s="1521"/>
      <c r="AE574" s="1521"/>
      <c r="AF574" s="1521"/>
      <c r="AG574" s="1521"/>
      <c r="AH574" s="1521"/>
      <c r="AI574" s="1521"/>
      <c r="AJ574" s="1521"/>
      <c r="AK574" s="1521"/>
      <c r="AL574" s="1523"/>
      <c r="AM574" s="1365">
        <f>SUM(AM562:AS573)</f>
        <v>64089184.145878471</v>
      </c>
      <c r="AN574" s="1366"/>
      <c r="AO574" s="1366"/>
      <c r="AP574" s="1366"/>
      <c r="AQ574" s="1366"/>
      <c r="AR574" s="1366"/>
      <c r="AS574" s="1367"/>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89" t="str">
        <f>C562</f>
        <v>Citibank - Tax-Exempt</v>
      </c>
      <c r="H576" s="1389"/>
      <c r="I576" s="1389"/>
      <c r="J576" s="1389"/>
      <c r="K576" s="1389"/>
      <c r="L576" s="1389"/>
      <c r="M576" s="1389"/>
      <c r="N576" s="1389"/>
      <c r="O576" s="1389"/>
      <c r="P576" s="1389"/>
      <c r="Q576" s="1389"/>
      <c r="R576" s="1389"/>
      <c r="S576" s="8"/>
      <c r="T576" s="55" t="s">
        <v>113</v>
      </c>
      <c r="U576" t="s">
        <v>462</v>
      </c>
      <c r="Z576" s="1389" t="str">
        <f>C563</f>
        <v>Citibank - Taxable</v>
      </c>
      <c r="AA576" s="1389"/>
      <c r="AB576" s="1389"/>
      <c r="AC576" s="1389"/>
      <c r="AD576" s="1389"/>
      <c r="AE576" s="1389"/>
      <c r="AF576" s="1389"/>
      <c r="AG576" s="1389"/>
      <c r="AH576" s="1389"/>
      <c r="AI576" s="1389"/>
      <c r="AJ576" s="1389"/>
      <c r="AK576" s="1389"/>
      <c r="BB576" s="3"/>
      <c r="BC576" s="3"/>
      <c r="BD576" s="3"/>
      <c r="BE576" s="3"/>
      <c r="BF576" s="3"/>
      <c r="BG576" s="3"/>
      <c r="BH576" s="3"/>
      <c r="BI576" s="3"/>
    </row>
    <row r="577" spans="1:61" ht="12.95" customHeight="1">
      <c r="A577" s="22"/>
      <c r="B577" t="s">
        <v>85</v>
      </c>
      <c r="G577" s="1380" t="s">
        <v>2742</v>
      </c>
      <c r="H577" s="1380"/>
      <c r="I577" s="1380"/>
      <c r="J577" s="1380"/>
      <c r="K577" s="1380"/>
      <c r="L577" s="1380"/>
      <c r="M577" s="1380"/>
      <c r="N577" s="1380"/>
      <c r="O577" s="1380"/>
      <c r="P577" s="1380"/>
      <c r="Q577" s="1380"/>
      <c r="R577" s="1380"/>
      <c r="S577" s="8"/>
      <c r="T577" s="22"/>
      <c r="U577" t="s">
        <v>85</v>
      </c>
      <c r="Z577" s="1380" t="s">
        <v>2742</v>
      </c>
      <c r="AA577" s="1380"/>
      <c r="AB577" s="1380"/>
      <c r="AC577" s="1380"/>
      <c r="AD577" s="1380"/>
      <c r="AE577" s="1380"/>
      <c r="AF577" s="1380"/>
      <c r="AG577" s="1380"/>
      <c r="AH577" s="1380"/>
      <c r="AI577" s="1380"/>
      <c r="AJ577" s="1380"/>
      <c r="AK577" s="1380"/>
      <c r="BB577" s="3"/>
      <c r="BC577" s="3"/>
      <c r="BD577" s="3"/>
      <c r="BE577" s="3"/>
      <c r="BF577" s="3"/>
      <c r="BG577" s="3"/>
      <c r="BH577" s="3"/>
      <c r="BI577" s="3"/>
    </row>
    <row r="578" spans="1:61" ht="12.95" customHeight="1">
      <c r="A578" s="22"/>
      <c r="B578" t="s">
        <v>579</v>
      </c>
      <c r="G578" s="1380" t="s">
        <v>2684</v>
      </c>
      <c r="H578" s="1380"/>
      <c r="I578" s="1380"/>
      <c r="J578" s="1380"/>
      <c r="K578" s="1380"/>
      <c r="L578" s="1380"/>
      <c r="M578" s="1380"/>
      <c r="N578" s="1380"/>
      <c r="O578" s="1380"/>
      <c r="P578" s="1380"/>
      <c r="Q578" s="1380"/>
      <c r="R578" s="1380"/>
      <c r="T578" s="22"/>
      <c r="U578" t="s">
        <v>579</v>
      </c>
      <c r="Z578" s="1322" t="s">
        <v>2684</v>
      </c>
      <c r="AA578" s="1322"/>
      <c r="AB578" s="1322"/>
      <c r="AC578" s="1322"/>
      <c r="AD578" s="1322"/>
      <c r="AE578" s="1322"/>
      <c r="AF578" s="1322"/>
      <c r="AG578" s="1322"/>
      <c r="AH578" s="1322"/>
      <c r="AI578" s="1322"/>
      <c r="AJ578" s="1322"/>
      <c r="AK578" s="1322"/>
      <c r="BB578" s="3"/>
      <c r="BC578" s="3"/>
      <c r="BD578" s="3"/>
      <c r="BE578" s="3"/>
      <c r="BF578" s="3"/>
      <c r="BG578" s="3"/>
      <c r="BH578" s="3"/>
      <c r="BI578" s="3"/>
    </row>
    <row r="579" spans="1:61" ht="12.95" customHeight="1">
      <c r="A579" s="22"/>
      <c r="B579" t="s">
        <v>17</v>
      </c>
      <c r="G579" s="1380" t="s">
        <v>2743</v>
      </c>
      <c r="H579" s="1380"/>
      <c r="I579" s="1380"/>
      <c r="J579" s="1380"/>
      <c r="K579" s="1380"/>
      <c r="L579" s="1380"/>
      <c r="M579" s="1380"/>
      <c r="N579" s="1380"/>
      <c r="O579" s="1380"/>
      <c r="P579" s="1380"/>
      <c r="Q579" s="1380"/>
      <c r="R579" s="1380"/>
      <c r="S579" s="8"/>
      <c r="T579" s="22"/>
      <c r="U579" t="s">
        <v>17</v>
      </c>
      <c r="Z579" s="1322" t="s">
        <v>2743</v>
      </c>
      <c r="AA579" s="1322"/>
      <c r="AB579" s="1322"/>
      <c r="AC579" s="1322"/>
      <c r="AD579" s="1322"/>
      <c r="AE579" s="1322"/>
      <c r="AF579" s="1322"/>
      <c r="AG579" s="1322"/>
      <c r="AH579" s="1322"/>
      <c r="AI579" s="1322"/>
      <c r="AJ579" s="1322"/>
      <c r="AK579" s="1322"/>
      <c r="BB579" s="3"/>
      <c r="BC579" s="3"/>
      <c r="BD579" s="3"/>
      <c r="BE579" s="3"/>
      <c r="BF579" s="3"/>
      <c r="BG579" s="3"/>
      <c r="BH579" s="3"/>
      <c r="BI579" s="3"/>
    </row>
    <row r="580" spans="1:61" ht="12.95" customHeight="1">
      <c r="A580" s="22"/>
      <c r="B580" t="s">
        <v>316</v>
      </c>
      <c r="G580" s="1430" t="s">
        <v>2744</v>
      </c>
      <c r="H580" s="1430"/>
      <c r="I580" s="1430"/>
      <c r="J580" s="1430"/>
      <c r="K580" s="1430"/>
      <c r="L580" s="1430"/>
      <c r="O580" s="33" t="s">
        <v>206</v>
      </c>
      <c r="P580" s="1361"/>
      <c r="Q580" s="1361"/>
      <c r="R580" s="1361"/>
      <c r="S580" s="10"/>
      <c r="T580" s="22"/>
      <c r="U580" t="s">
        <v>316</v>
      </c>
      <c r="Z580" s="1430" t="s">
        <v>2744</v>
      </c>
      <c r="AA580" s="1430"/>
      <c r="AB580" s="1430"/>
      <c r="AC580" s="1430"/>
      <c r="AD580" s="1430"/>
      <c r="AE580" s="1430"/>
      <c r="AH580" s="33" t="s">
        <v>206</v>
      </c>
      <c r="AI580" s="1361"/>
      <c r="AJ580" s="1361"/>
      <c r="AK580" s="1361"/>
      <c r="BB580" s="3"/>
      <c r="BC580" s="3"/>
      <c r="BD580" s="3"/>
      <c r="BE580" s="3"/>
      <c r="BF580" s="3"/>
      <c r="BG580" s="3"/>
      <c r="BH580" s="3"/>
      <c r="BI580" s="3"/>
    </row>
    <row r="581" spans="1:61" ht="12.95" customHeight="1">
      <c r="A581" s="22"/>
      <c r="B581" t="s">
        <v>18</v>
      </c>
      <c r="H581" s="1380" t="s">
        <v>2745</v>
      </c>
      <c r="I581" s="1380"/>
      <c r="J581" s="1380"/>
      <c r="K581" s="1380"/>
      <c r="L581" s="1380"/>
      <c r="M581" s="1380"/>
      <c r="N581" s="1380"/>
      <c r="O581" s="1380"/>
      <c r="P581" s="1380"/>
      <c r="Q581" s="1380"/>
      <c r="R581" s="1380"/>
      <c r="S581" s="8"/>
      <c r="T581" s="22"/>
      <c r="U581" t="s">
        <v>18</v>
      </c>
      <c r="AA581" s="1434" t="s">
        <v>2746</v>
      </c>
      <c r="AB581" s="1380"/>
      <c r="AC581" s="1380"/>
      <c r="AD581" s="1380"/>
      <c r="AE581" s="1380"/>
      <c r="AF581" s="1380"/>
      <c r="AG581" s="1380"/>
      <c r="AH581" s="1380"/>
      <c r="AI581" s="1380"/>
      <c r="AJ581" s="1380"/>
      <c r="AK581" s="1380"/>
      <c r="BB581" s="3"/>
      <c r="BC581" s="3"/>
      <c r="BD581" s="3"/>
      <c r="BE581" s="3"/>
      <c r="BF581" s="3"/>
      <c r="BG581" s="3"/>
      <c r="BH581" s="3"/>
      <c r="BI581" s="3"/>
    </row>
    <row r="582" spans="1:61" ht="12.95" customHeight="1">
      <c r="A582" s="22"/>
      <c r="B582" s="320" t="s">
        <v>1183</v>
      </c>
      <c r="H582" s="8"/>
      <c r="I582" s="8"/>
      <c r="J582" s="8"/>
      <c r="K582" s="8"/>
      <c r="L582" s="8"/>
      <c r="M582" s="1599" t="s">
        <v>2747</v>
      </c>
      <c r="N582" s="1581"/>
      <c r="O582" s="1581"/>
      <c r="P582" s="1581"/>
      <c r="Q582" s="1581"/>
      <c r="R582" s="1581"/>
      <c r="S582" s="8"/>
      <c r="T582" s="22"/>
      <c r="U582" s="320" t="s">
        <v>1183</v>
      </c>
      <c r="AA582" s="8"/>
      <c r="AB582" s="8"/>
      <c r="AC582" s="8"/>
      <c r="AD582" s="8"/>
      <c r="AE582" s="8"/>
      <c r="AF582" s="1599" t="s">
        <v>2748</v>
      </c>
      <c r="AG582" s="1581"/>
      <c r="AH582" s="1581"/>
      <c r="AI582" s="1581"/>
      <c r="AJ582" s="1581"/>
      <c r="AK582" s="1581"/>
      <c r="BB582" s="3"/>
      <c r="BC582" s="3"/>
      <c r="BD582" s="3"/>
      <c r="BE582" s="3"/>
      <c r="BF582" s="3"/>
      <c r="BG582" s="3"/>
      <c r="BH582" s="3"/>
      <c r="BI582" s="3"/>
    </row>
    <row r="583" spans="1:61" ht="12.95" customHeight="1">
      <c r="A583" s="22"/>
      <c r="B583" t="s">
        <v>20</v>
      </c>
      <c r="N583" s="1399" t="s">
        <v>544</v>
      </c>
      <c r="O583" s="1399"/>
      <c r="T583" s="22"/>
      <c r="U583" t="s">
        <v>20</v>
      </c>
      <c r="AG583" s="1399" t="s">
        <v>544</v>
      </c>
      <c r="AH583" s="139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89" t="str">
        <f>C564</f>
        <v>Safehold - Tenant Improvement Allowance</v>
      </c>
      <c r="H585" s="1389"/>
      <c r="I585" s="1389"/>
      <c r="J585" s="1389"/>
      <c r="K585" s="1389"/>
      <c r="L585" s="1389"/>
      <c r="M585" s="1389"/>
      <c r="N585" s="1389"/>
      <c r="O585" s="1389"/>
      <c r="P585" s="1389"/>
      <c r="Q585" s="1389"/>
      <c r="R585" s="1389"/>
      <c r="T585" s="55" t="s">
        <v>580</v>
      </c>
      <c r="U585" t="s">
        <v>462</v>
      </c>
      <c r="Z585" s="1389" t="str">
        <f>C565</f>
        <v>Tax Credit Equity - Federal</v>
      </c>
      <c r="AA585" s="1389"/>
      <c r="AB585" s="1389"/>
      <c r="AC585" s="1389"/>
      <c r="AD585" s="1389"/>
      <c r="AE585" s="1389"/>
      <c r="AF585" s="1389"/>
      <c r="AG585" s="1389"/>
      <c r="AH585" s="1389"/>
      <c r="AI585" s="1389"/>
      <c r="AJ585" s="1389"/>
      <c r="AK585" s="1389"/>
      <c r="BB585" s="3"/>
      <c r="BC585" s="3"/>
    </row>
    <row r="586" spans="1:61" ht="12.95" customHeight="1">
      <c r="A586" s="22"/>
      <c r="B586" t="s">
        <v>85</v>
      </c>
      <c r="G586" s="1380" t="s">
        <v>2749</v>
      </c>
      <c r="H586" s="1380"/>
      <c r="I586" s="1380"/>
      <c r="J586" s="1380"/>
      <c r="K586" s="1380"/>
      <c r="L586" s="1380"/>
      <c r="M586" s="1380"/>
      <c r="N586" s="1380"/>
      <c r="O586" s="1380"/>
      <c r="P586" s="1380"/>
      <c r="Q586" s="1380"/>
      <c r="R586" s="1380"/>
      <c r="T586" s="22"/>
      <c r="U586" t="s">
        <v>85</v>
      </c>
      <c r="Z586" s="1380" t="s">
        <v>2754</v>
      </c>
      <c r="AA586" s="1380"/>
      <c r="AB586" s="1380"/>
      <c r="AC586" s="1380"/>
      <c r="AD586" s="1380"/>
      <c r="AE586" s="1380"/>
      <c r="AF586" s="1380"/>
      <c r="AG586" s="1380"/>
      <c r="AH586" s="1380"/>
      <c r="AI586" s="1380"/>
      <c r="AJ586" s="1380"/>
      <c r="AK586" s="1380"/>
      <c r="BB586" s="3"/>
      <c r="BC586" s="3"/>
    </row>
    <row r="587" spans="1:61" ht="12.95" customHeight="1">
      <c r="A587" s="22"/>
      <c r="B587" t="s">
        <v>579</v>
      </c>
      <c r="G587" s="1322" t="s">
        <v>2750</v>
      </c>
      <c r="H587" s="1322"/>
      <c r="I587" s="1322"/>
      <c r="J587" s="1322"/>
      <c r="K587" s="1322"/>
      <c r="L587" s="1322"/>
      <c r="M587" s="1322"/>
      <c r="N587" s="1322"/>
      <c r="O587" s="1322"/>
      <c r="P587" s="1322"/>
      <c r="Q587" s="1322"/>
      <c r="R587" s="1322"/>
      <c r="T587" s="22"/>
      <c r="U587" t="s">
        <v>579</v>
      </c>
      <c r="Z587" s="1322" t="s">
        <v>2755</v>
      </c>
      <c r="AA587" s="1322"/>
      <c r="AB587" s="1322"/>
      <c r="AC587" s="1322"/>
      <c r="AD587" s="1322"/>
      <c r="AE587" s="1322"/>
      <c r="AF587" s="1322"/>
      <c r="AG587" s="1322"/>
      <c r="AH587" s="1322"/>
      <c r="AI587" s="1322"/>
      <c r="AJ587" s="1322"/>
      <c r="AK587" s="1322"/>
      <c r="BB587" s="3"/>
      <c r="BC587" s="3"/>
    </row>
    <row r="588" spans="1:61" ht="12.95" customHeight="1">
      <c r="A588" s="22"/>
      <c r="B588" t="s">
        <v>17</v>
      </c>
      <c r="G588" s="1322" t="s">
        <v>2751</v>
      </c>
      <c r="H588" s="1322"/>
      <c r="I588" s="1322"/>
      <c r="J588" s="1322"/>
      <c r="K588" s="1322"/>
      <c r="L588" s="1322"/>
      <c r="M588" s="1322"/>
      <c r="N588" s="1322"/>
      <c r="O588" s="1322"/>
      <c r="P588" s="1322"/>
      <c r="Q588" s="1322"/>
      <c r="R588" s="1322"/>
      <c r="T588" s="22"/>
      <c r="U588" t="s">
        <v>17</v>
      </c>
      <c r="Z588" s="1322" t="s">
        <v>2756</v>
      </c>
      <c r="AA588" s="1322"/>
      <c r="AB588" s="1322"/>
      <c r="AC588" s="1322"/>
      <c r="AD588" s="1322"/>
      <c r="AE588" s="1322"/>
      <c r="AF588" s="1322"/>
      <c r="AG588" s="1322"/>
      <c r="AH588" s="1322"/>
      <c r="AI588" s="1322"/>
      <c r="AJ588" s="1322"/>
      <c r="AK588" s="1322"/>
      <c r="BB588" s="3"/>
      <c r="BC588" s="3"/>
    </row>
    <row r="589" spans="1:61" ht="12.95" customHeight="1">
      <c r="A589" s="22"/>
      <c r="B589" t="s">
        <v>316</v>
      </c>
      <c r="G589" s="1430" t="s">
        <v>2752</v>
      </c>
      <c r="H589" s="1430"/>
      <c r="I589" s="1430"/>
      <c r="J589" s="1430"/>
      <c r="K589" s="1430"/>
      <c r="L589" s="1430"/>
      <c r="O589" s="33" t="s">
        <v>206</v>
      </c>
      <c r="P589" s="1361"/>
      <c r="Q589" s="1361"/>
      <c r="R589" s="1361"/>
      <c r="T589" s="22"/>
      <c r="U589" t="s">
        <v>316</v>
      </c>
      <c r="Z589" s="1430" t="s">
        <v>2757</v>
      </c>
      <c r="AA589" s="1430"/>
      <c r="AB589" s="1430"/>
      <c r="AC589" s="1430"/>
      <c r="AD589" s="1430"/>
      <c r="AE589" s="1430"/>
      <c r="AH589" s="33" t="s">
        <v>206</v>
      </c>
      <c r="AI589" s="1361"/>
      <c r="AJ589" s="1361"/>
      <c r="AK589" s="1361"/>
      <c r="BB589" s="3"/>
      <c r="BC589" s="3"/>
    </row>
    <row r="590" spans="1:61" ht="12.95" customHeight="1">
      <c r="A590" s="22"/>
      <c r="B590" t="s">
        <v>18</v>
      </c>
      <c r="H590" s="1434" t="s">
        <v>2753</v>
      </c>
      <c r="I590" s="1380"/>
      <c r="J590" s="1380"/>
      <c r="K590" s="1380"/>
      <c r="L590" s="1380"/>
      <c r="M590" s="1380"/>
      <c r="N590" s="1380"/>
      <c r="O590" s="1380"/>
      <c r="P590" s="1380"/>
      <c r="Q590" s="1380"/>
      <c r="R590" s="1380"/>
      <c r="T590" s="22"/>
      <c r="U590" t="s">
        <v>18</v>
      </c>
      <c r="AA590" s="1380" t="s">
        <v>2758</v>
      </c>
      <c r="AB590" s="1380"/>
      <c r="AC590" s="1380"/>
      <c r="AD590" s="1380"/>
      <c r="AE590" s="1380"/>
      <c r="AF590" s="1380"/>
      <c r="AG590" s="1380"/>
      <c r="AH590" s="1380"/>
      <c r="AI590" s="1380"/>
      <c r="AJ590" s="1380"/>
      <c r="AK590" s="1380"/>
      <c r="BB590" s="3"/>
      <c r="BC590" s="3"/>
    </row>
    <row r="591" spans="1:61" ht="12.95" customHeight="1">
      <c r="A591" s="22"/>
      <c r="B591" t="s">
        <v>20</v>
      </c>
      <c r="N591" s="1399" t="s">
        <v>544</v>
      </c>
      <c r="O591" s="1399"/>
      <c r="T591" s="22"/>
      <c r="U591" t="s">
        <v>20</v>
      </c>
      <c r="AG591" s="1399" t="s">
        <v>544</v>
      </c>
      <c r="AH591" s="1399"/>
      <c r="BB591" s="3"/>
      <c r="BC591" s="3"/>
    </row>
    <row r="592" spans="1:61" ht="12.95" customHeight="1">
      <c r="A592" s="22"/>
      <c r="T592" s="22"/>
      <c r="BB592" s="3"/>
      <c r="BC592" s="3"/>
    </row>
    <row r="593" spans="1:55" ht="12.95" customHeight="1">
      <c r="A593" s="55" t="s">
        <v>762</v>
      </c>
      <c r="B593" t="s">
        <v>462</v>
      </c>
      <c r="G593" s="1389" t="str">
        <f>C566</f>
        <v>Tax Credit Equity - State</v>
      </c>
      <c r="H593" s="1389"/>
      <c r="I593" s="1389"/>
      <c r="J593" s="1389"/>
      <c r="K593" s="1389"/>
      <c r="L593" s="1389"/>
      <c r="M593" s="1389"/>
      <c r="N593" s="1389"/>
      <c r="O593" s="1389"/>
      <c r="P593" s="1389"/>
      <c r="Q593" s="1389"/>
      <c r="R593" s="1389"/>
      <c r="T593" s="55" t="s">
        <v>583</v>
      </c>
      <c r="U593" t="s">
        <v>462</v>
      </c>
      <c r="Z593" s="1389" t="str">
        <f>C567</f>
        <v>Deferred Operating Reserve</v>
      </c>
      <c r="AA593" s="1389"/>
      <c r="AB593" s="1389"/>
      <c r="AC593" s="1389"/>
      <c r="AD593" s="1389"/>
      <c r="AE593" s="1389"/>
      <c r="AF593" s="1389"/>
      <c r="AG593" s="1389"/>
      <c r="AH593" s="1389"/>
      <c r="AI593" s="1389"/>
      <c r="AJ593" s="1389"/>
      <c r="AK593" s="1389"/>
      <c r="BB593" s="3"/>
      <c r="BC593" s="3"/>
    </row>
    <row r="594" spans="1:55" ht="12.95" customHeight="1">
      <c r="A594" s="22"/>
      <c r="B594" t="s">
        <v>85</v>
      </c>
      <c r="G594" s="1380" t="s">
        <v>2754</v>
      </c>
      <c r="H594" s="1380"/>
      <c r="I594" s="1380"/>
      <c r="J594" s="1380"/>
      <c r="K594" s="1380"/>
      <c r="L594" s="1380"/>
      <c r="M594" s="1380"/>
      <c r="N594" s="1380"/>
      <c r="O594" s="1380"/>
      <c r="P594" s="1380"/>
      <c r="Q594" s="1380"/>
      <c r="R594" s="1380"/>
      <c r="T594" s="22"/>
      <c r="U594" t="s">
        <v>85</v>
      </c>
      <c r="Z594" s="1380" t="s">
        <v>2760</v>
      </c>
      <c r="AA594" s="1380"/>
      <c r="AB594" s="1380"/>
      <c r="AC594" s="1380"/>
      <c r="AD594" s="1380"/>
      <c r="AE594" s="1380"/>
      <c r="AF594" s="1380"/>
      <c r="AG594" s="1380"/>
      <c r="AH594" s="1380"/>
      <c r="AI594" s="1380"/>
      <c r="AJ594" s="1380"/>
      <c r="AK594" s="1380"/>
      <c r="BB594" s="3"/>
      <c r="BC594" s="3"/>
    </row>
    <row r="595" spans="1:55" ht="12.95" customHeight="1">
      <c r="A595" s="22"/>
      <c r="B595" t="s">
        <v>579</v>
      </c>
      <c r="G595" s="1380" t="s">
        <v>2755</v>
      </c>
      <c r="H595" s="1380"/>
      <c r="I595" s="1380"/>
      <c r="J595" s="1380"/>
      <c r="K595" s="1380"/>
      <c r="L595" s="1380"/>
      <c r="M595" s="1380"/>
      <c r="N595" s="1380"/>
      <c r="O595" s="1380"/>
      <c r="P595" s="1380"/>
      <c r="Q595" s="1380"/>
      <c r="R595" s="1380"/>
      <c r="T595" s="22"/>
      <c r="U595" t="s">
        <v>579</v>
      </c>
      <c r="Z595" s="1322" t="s">
        <v>493</v>
      </c>
      <c r="AA595" s="1322"/>
      <c r="AB595" s="1322"/>
      <c r="AC595" s="1322"/>
      <c r="AD595" s="1322"/>
      <c r="AE595" s="1322"/>
      <c r="AF595" s="1322"/>
      <c r="AG595" s="1322"/>
      <c r="AH595" s="1322"/>
      <c r="AI595" s="1322"/>
      <c r="AJ595" s="1322"/>
      <c r="AK595" s="1322"/>
      <c r="BB595" s="3"/>
      <c r="BC595" s="3"/>
    </row>
    <row r="596" spans="1:55" ht="12.95" customHeight="1">
      <c r="A596" s="22"/>
      <c r="B596" t="s">
        <v>17</v>
      </c>
      <c r="G596" s="1380" t="s">
        <v>2756</v>
      </c>
      <c r="H596" s="1380"/>
      <c r="I596" s="1380"/>
      <c r="J596" s="1380"/>
      <c r="K596" s="1380"/>
      <c r="L596" s="1380"/>
      <c r="M596" s="1380"/>
      <c r="N596" s="1380"/>
      <c r="O596" s="1380"/>
      <c r="P596" s="1380"/>
      <c r="Q596" s="1380"/>
      <c r="R596" s="1380"/>
      <c r="T596" s="22"/>
      <c r="U596" t="s">
        <v>17</v>
      </c>
      <c r="Z596" s="1322" t="s">
        <v>2761</v>
      </c>
      <c r="AA596" s="1322"/>
      <c r="AB596" s="1322"/>
      <c r="AC596" s="1322"/>
      <c r="AD596" s="1322"/>
      <c r="AE596" s="1322"/>
      <c r="AF596" s="1322"/>
      <c r="AG596" s="1322"/>
      <c r="AH596" s="1322"/>
      <c r="AI596" s="1322"/>
      <c r="AJ596" s="1322"/>
      <c r="AK596" s="1322"/>
    </row>
    <row r="597" spans="1:55" ht="12.95" customHeight="1">
      <c r="A597" s="22"/>
      <c r="B597" t="s">
        <v>316</v>
      </c>
      <c r="G597" s="1430" t="s">
        <v>2757</v>
      </c>
      <c r="H597" s="1430"/>
      <c r="I597" s="1430"/>
      <c r="J597" s="1430"/>
      <c r="K597" s="1430"/>
      <c r="L597" s="1430"/>
      <c r="O597" s="33" t="s">
        <v>206</v>
      </c>
      <c r="P597" s="1361"/>
      <c r="Q597" s="1361"/>
      <c r="R597" s="1361"/>
      <c r="T597" s="22"/>
      <c r="U597" t="s">
        <v>316</v>
      </c>
      <c r="Z597" s="1430" t="s">
        <v>2762</v>
      </c>
      <c r="AA597" s="1430"/>
      <c r="AB597" s="1430"/>
      <c r="AC597" s="1430"/>
      <c r="AD597" s="1430"/>
      <c r="AE597" s="1430"/>
      <c r="AH597" s="33" t="s">
        <v>206</v>
      </c>
      <c r="AI597" s="1361">
        <v>106</v>
      </c>
      <c r="AJ597" s="1361"/>
      <c r="AK597" s="1361"/>
      <c r="AZ597" s="3"/>
      <c r="BA597" s="3"/>
      <c r="BB597" s="3"/>
      <c r="BC597" s="3"/>
    </row>
    <row r="598" spans="1:55" ht="12.95" customHeight="1">
      <c r="A598" s="22"/>
      <c r="B598" t="s">
        <v>18</v>
      </c>
      <c r="H598" s="1434" t="s">
        <v>2759</v>
      </c>
      <c r="I598" s="1380"/>
      <c r="J598" s="1380"/>
      <c r="K598" s="1380"/>
      <c r="L598" s="1380"/>
      <c r="M598" s="1380"/>
      <c r="N598" s="1380"/>
      <c r="O598" s="1380"/>
      <c r="P598" s="1380"/>
      <c r="Q598" s="1380"/>
      <c r="R598" s="1380"/>
      <c r="T598" s="22"/>
      <c r="U598" t="s">
        <v>18</v>
      </c>
      <c r="AA598" s="1434" t="s">
        <v>2763</v>
      </c>
      <c r="AB598" s="1380"/>
      <c r="AC598" s="1380"/>
      <c r="AD598" s="1380"/>
      <c r="AE598" s="1380"/>
      <c r="AF598" s="1380"/>
      <c r="AG598" s="1380"/>
      <c r="AH598" s="1380"/>
      <c r="AI598" s="1380"/>
      <c r="AJ598" s="1380"/>
      <c r="AK598" s="1380"/>
      <c r="AZ598" s="3"/>
      <c r="BA598" s="3"/>
      <c r="BB598" s="3"/>
      <c r="BC598" s="3"/>
    </row>
    <row r="599" spans="1:55" ht="12.95" customHeight="1">
      <c r="A599" s="22"/>
      <c r="B599" t="s">
        <v>20</v>
      </c>
      <c r="N599" s="1399" t="s">
        <v>544</v>
      </c>
      <c r="O599" s="1399"/>
      <c r="T599" s="22"/>
      <c r="U599" t="s">
        <v>20</v>
      </c>
      <c r="AG599" s="1399" t="s">
        <v>544</v>
      </c>
      <c r="AH599" s="1399"/>
      <c r="AZ599" s="3"/>
      <c r="BA599" s="3"/>
      <c r="BB599" s="3"/>
      <c r="BC599" s="3"/>
    </row>
    <row r="600" spans="1:55" ht="12.95" customHeight="1">
      <c r="A600" s="22"/>
      <c r="T600" s="22"/>
      <c r="AZ600" s="3"/>
      <c r="BA600" s="3"/>
      <c r="BB600" s="3"/>
      <c r="BC600" s="3"/>
    </row>
    <row r="601" spans="1:55" ht="12.95" customHeight="1">
      <c r="A601" s="55" t="s">
        <v>454</v>
      </c>
      <c r="B601" t="s">
        <v>462</v>
      </c>
      <c r="G601" s="1389" t="str">
        <f>C568</f>
        <v>Deferred Dev. Fee and Costs</v>
      </c>
      <c r="H601" s="1389"/>
      <c r="I601" s="1389"/>
      <c r="J601" s="1389"/>
      <c r="K601" s="1389"/>
      <c r="L601" s="1389"/>
      <c r="M601" s="1389"/>
      <c r="N601" s="1389"/>
      <c r="O601" s="1389"/>
      <c r="P601" s="1389"/>
      <c r="Q601" s="1389"/>
      <c r="R601" s="1389"/>
      <c r="T601" s="55" t="s">
        <v>455</v>
      </c>
      <c r="U601" t="s">
        <v>462</v>
      </c>
      <c r="Z601" s="1389">
        <f>C569</f>
        <v>0</v>
      </c>
      <c r="AA601" s="1389"/>
      <c r="AB601" s="1389"/>
      <c r="AC601" s="1389"/>
      <c r="AD601" s="1389"/>
      <c r="AE601" s="1389"/>
      <c r="AF601" s="1389"/>
      <c r="AG601" s="1389"/>
      <c r="AH601" s="1389"/>
      <c r="AI601" s="1389"/>
      <c r="AJ601" s="1389"/>
      <c r="AK601" s="1389"/>
      <c r="AZ601" s="3"/>
      <c r="BA601" s="3"/>
      <c r="BB601" s="3"/>
      <c r="BC601" s="3"/>
    </row>
    <row r="602" spans="1:55" s="4" customFormat="1" ht="12.95" customHeight="1">
      <c r="A602" s="22"/>
      <c r="B602" t="s">
        <v>85</v>
      </c>
      <c r="C602"/>
      <c r="D602"/>
      <c r="E602"/>
      <c r="F602"/>
      <c r="G602" s="1380" t="s">
        <v>2760</v>
      </c>
      <c r="H602" s="1380"/>
      <c r="I602" s="1380"/>
      <c r="J602" s="1380"/>
      <c r="K602" s="1380"/>
      <c r="L602" s="1380"/>
      <c r="M602" s="1380"/>
      <c r="N602" s="1380"/>
      <c r="O602" s="1380"/>
      <c r="P602" s="1380"/>
      <c r="Q602" s="1380"/>
      <c r="R602" s="1380"/>
      <c r="S602"/>
      <c r="T602" s="22"/>
      <c r="U602" t="s">
        <v>85</v>
      </c>
      <c r="V602"/>
      <c r="W602"/>
      <c r="X602"/>
      <c r="Y602"/>
      <c r="Z602" s="1380"/>
      <c r="AA602" s="1380"/>
      <c r="AB602" s="1380"/>
      <c r="AC602" s="1380"/>
      <c r="AD602" s="1380"/>
      <c r="AE602" s="1380"/>
      <c r="AF602" s="1380"/>
      <c r="AG602" s="1380"/>
      <c r="AH602" s="1380"/>
      <c r="AI602" s="1380"/>
      <c r="AJ602" s="1380"/>
      <c r="AK602" s="1380"/>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80" t="s">
        <v>493</v>
      </c>
      <c r="H603" s="1380"/>
      <c r="I603" s="1380"/>
      <c r="J603" s="1380"/>
      <c r="K603" s="1380"/>
      <c r="L603" s="1380"/>
      <c r="M603" s="1380"/>
      <c r="N603" s="1380"/>
      <c r="O603" s="1380"/>
      <c r="P603" s="1380"/>
      <c r="Q603" s="1380"/>
      <c r="R603" s="1380"/>
      <c r="S603"/>
      <c r="T603" s="22"/>
      <c r="U603" t="s">
        <v>579</v>
      </c>
      <c r="V603"/>
      <c r="W603"/>
      <c r="X603"/>
      <c r="Y603"/>
      <c r="Z603" s="1322"/>
      <c r="AA603" s="1322"/>
      <c r="AB603" s="1322"/>
      <c r="AC603" s="1322"/>
      <c r="AD603" s="1322"/>
      <c r="AE603" s="1322"/>
      <c r="AF603" s="1322"/>
      <c r="AG603" s="1322"/>
      <c r="AH603" s="1322"/>
      <c r="AI603" s="1322"/>
      <c r="AJ603" s="1322"/>
      <c r="AK603" s="132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80" t="s">
        <v>2761</v>
      </c>
      <c r="H604" s="1380"/>
      <c r="I604" s="1380"/>
      <c r="J604" s="1380"/>
      <c r="K604" s="1380"/>
      <c r="L604" s="1380"/>
      <c r="M604" s="1380"/>
      <c r="N604" s="1380"/>
      <c r="O604" s="1380"/>
      <c r="P604" s="1380"/>
      <c r="Q604" s="1380"/>
      <c r="R604" s="1380"/>
      <c r="S604"/>
      <c r="T604" s="22"/>
      <c r="U604" t="s">
        <v>17</v>
      </c>
      <c r="V604"/>
      <c r="W604"/>
      <c r="X604"/>
      <c r="Y604"/>
      <c r="Z604" s="1322"/>
      <c r="AA604" s="1322"/>
      <c r="AB604" s="1322"/>
      <c r="AC604" s="1322"/>
      <c r="AD604" s="1322"/>
      <c r="AE604" s="1322"/>
      <c r="AF604" s="1322"/>
      <c r="AG604" s="1322"/>
      <c r="AH604" s="1322"/>
      <c r="AI604" s="1322"/>
      <c r="AJ604" s="1322"/>
      <c r="AK604" s="132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30" t="s">
        <v>2762</v>
      </c>
      <c r="H605" s="1430"/>
      <c r="I605" s="1430"/>
      <c r="J605" s="1430"/>
      <c r="K605" s="1430"/>
      <c r="L605" s="1430"/>
      <c r="M605"/>
      <c r="N605"/>
      <c r="O605" s="33" t="s">
        <v>206</v>
      </c>
      <c r="P605" s="1361">
        <v>106</v>
      </c>
      <c r="Q605" s="1361"/>
      <c r="R605" s="1361"/>
      <c r="S605"/>
      <c r="T605" s="22"/>
      <c r="U605" t="s">
        <v>316</v>
      </c>
      <c r="V605"/>
      <c r="W605"/>
      <c r="X605"/>
      <c r="Y605"/>
      <c r="Z605" s="1430"/>
      <c r="AA605" s="1430"/>
      <c r="AB605" s="1430"/>
      <c r="AC605" s="1430"/>
      <c r="AD605" s="1430"/>
      <c r="AE605" s="1430"/>
      <c r="AF605"/>
      <c r="AG605"/>
      <c r="AH605" s="33" t="s">
        <v>206</v>
      </c>
      <c r="AI605" s="1361"/>
      <c r="AJ605" s="1361"/>
      <c r="AK605" s="1361"/>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4" t="s">
        <v>2764</v>
      </c>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BB606" s="3"/>
      <c r="BC606" s="3"/>
    </row>
    <row r="607" spans="1:55" ht="12.95" customHeight="1">
      <c r="A607" s="22"/>
      <c r="B607" t="s">
        <v>20</v>
      </c>
      <c r="N607" s="1399" t="s">
        <v>544</v>
      </c>
      <c r="O607" s="1399"/>
      <c r="T607" s="22"/>
      <c r="U607" t="s">
        <v>20</v>
      </c>
      <c r="AG607" s="1399" t="s">
        <v>668</v>
      </c>
      <c r="AH607" s="1399"/>
      <c r="BB607" s="3"/>
      <c r="BC607" s="3"/>
    </row>
    <row r="608" spans="1:55" ht="12.95" customHeight="1">
      <c r="A608" s="22"/>
      <c r="T608" s="22"/>
      <c r="BB608" s="3"/>
      <c r="BC608" s="3"/>
    </row>
    <row r="609" spans="1:55" ht="12.95" customHeight="1">
      <c r="A609" s="55" t="s">
        <v>460</v>
      </c>
      <c r="B609" t="s">
        <v>462</v>
      </c>
      <c r="G609" s="1389">
        <f>C570</f>
        <v>0</v>
      </c>
      <c r="H609" s="1389"/>
      <c r="I609" s="1389"/>
      <c r="J609" s="1389"/>
      <c r="K609" s="1389"/>
      <c r="L609" s="1389"/>
      <c r="M609" s="1389"/>
      <c r="N609" s="1389"/>
      <c r="O609" s="1389"/>
      <c r="P609" s="1389"/>
      <c r="Q609" s="1389"/>
      <c r="R609" s="1389"/>
      <c r="T609" s="55" t="s">
        <v>645</v>
      </c>
      <c r="U609" t="s">
        <v>462</v>
      </c>
      <c r="Z609" s="1389">
        <f>C571</f>
        <v>0</v>
      </c>
      <c r="AA609" s="1389"/>
      <c r="AB609" s="1389"/>
      <c r="AC609" s="1389"/>
      <c r="AD609" s="1389"/>
      <c r="AE609" s="1389"/>
      <c r="AF609" s="1389"/>
      <c r="AG609" s="1389"/>
      <c r="AH609" s="1389"/>
      <c r="AI609" s="1389"/>
      <c r="AJ609" s="1389"/>
      <c r="AK609" s="1389"/>
      <c r="BB609" s="3"/>
      <c r="BC609" s="3"/>
    </row>
    <row r="610" spans="1:55" ht="12.95" customHeight="1">
      <c r="A610" s="22"/>
      <c r="B610" t="s">
        <v>85</v>
      </c>
      <c r="G610" s="1380"/>
      <c r="H610" s="1380"/>
      <c r="I610" s="1380"/>
      <c r="J610" s="1380"/>
      <c r="K610" s="1380"/>
      <c r="L610" s="1380"/>
      <c r="M610" s="1380"/>
      <c r="N610" s="1380"/>
      <c r="O610" s="1380"/>
      <c r="P610" s="1380"/>
      <c r="Q610" s="1380"/>
      <c r="R610" s="1380"/>
      <c r="T610" s="22"/>
      <c r="U610" t="s">
        <v>85</v>
      </c>
      <c r="Z610" s="1380"/>
      <c r="AA610" s="1380"/>
      <c r="AB610" s="1380"/>
      <c r="AC610" s="1380"/>
      <c r="AD610" s="1380"/>
      <c r="AE610" s="1380"/>
      <c r="AF610" s="1380"/>
      <c r="AG610" s="1380"/>
      <c r="AH610" s="1380"/>
      <c r="AI610" s="1380"/>
      <c r="AJ610" s="1380"/>
      <c r="AK610" s="1380"/>
      <c r="AZ610" s="3"/>
      <c r="BA610" s="3"/>
      <c r="BB610" s="3"/>
      <c r="BC610" s="3"/>
    </row>
    <row r="611" spans="1:55" ht="12.95" customHeight="1">
      <c r="A611" s="22"/>
      <c r="B611" t="s">
        <v>579</v>
      </c>
      <c r="G611" s="1380"/>
      <c r="H611" s="1380"/>
      <c r="I611" s="1380"/>
      <c r="J611" s="1380"/>
      <c r="K611" s="1380"/>
      <c r="L611" s="1380"/>
      <c r="M611" s="1380"/>
      <c r="N611" s="1380"/>
      <c r="O611" s="1380"/>
      <c r="P611" s="1380"/>
      <c r="Q611" s="1380"/>
      <c r="R611" s="1380"/>
      <c r="T611" s="22"/>
      <c r="U611" t="s">
        <v>579</v>
      </c>
      <c r="Z611" s="1322"/>
      <c r="AA611" s="1322"/>
      <c r="AB611" s="1322"/>
      <c r="AC611" s="1322"/>
      <c r="AD611" s="1322"/>
      <c r="AE611" s="1322"/>
      <c r="AF611" s="1322"/>
      <c r="AG611" s="1322"/>
      <c r="AH611" s="1322"/>
      <c r="AI611" s="1322"/>
      <c r="AJ611" s="1322"/>
      <c r="AK611" s="1322"/>
      <c r="AZ611" s="3"/>
      <c r="BA611" s="3"/>
      <c r="BB611" s="3"/>
      <c r="BC611" s="3"/>
    </row>
    <row r="612" spans="1:55" ht="12.95" customHeight="1">
      <c r="A612" s="22"/>
      <c r="B612" t="s">
        <v>17</v>
      </c>
      <c r="G612" s="1380"/>
      <c r="H612" s="1380"/>
      <c r="I612" s="1380"/>
      <c r="J612" s="1380"/>
      <c r="K612" s="1380"/>
      <c r="L612" s="1380"/>
      <c r="M612" s="1380"/>
      <c r="N612" s="1380"/>
      <c r="O612" s="1380"/>
      <c r="P612" s="1380"/>
      <c r="Q612" s="1380"/>
      <c r="R612" s="1380"/>
      <c r="T612" s="22"/>
      <c r="U612" t="s">
        <v>17</v>
      </c>
      <c r="Z612" s="1322"/>
      <c r="AA612" s="1322"/>
      <c r="AB612" s="1322"/>
      <c r="AC612" s="1322"/>
      <c r="AD612" s="1322"/>
      <c r="AE612" s="1322"/>
      <c r="AF612" s="1322"/>
      <c r="AG612" s="1322"/>
      <c r="AH612" s="1322"/>
      <c r="AI612" s="1322"/>
      <c r="AJ612" s="1322"/>
      <c r="AK612" s="1322"/>
      <c r="AZ612" s="3"/>
      <c r="BA612" s="3"/>
      <c r="BB612" s="3"/>
      <c r="BC612" s="3"/>
    </row>
    <row r="613" spans="1:55" s="4" customFormat="1" ht="12.95" customHeight="1">
      <c r="A613" s="22"/>
      <c r="B613" t="s">
        <v>316</v>
      </c>
      <c r="C613"/>
      <c r="D613"/>
      <c r="E613"/>
      <c r="F613"/>
      <c r="G613" s="1430"/>
      <c r="H613" s="1430"/>
      <c r="I613" s="1430"/>
      <c r="J613" s="1430"/>
      <c r="K613" s="1430"/>
      <c r="L613" s="1430"/>
      <c r="M613"/>
      <c r="N613"/>
      <c r="O613" s="33" t="s">
        <v>206</v>
      </c>
      <c r="P613" s="1361"/>
      <c r="Q613" s="1361"/>
      <c r="R613" s="1361"/>
      <c r="S613"/>
      <c r="T613" s="22"/>
      <c r="U613" t="s">
        <v>316</v>
      </c>
      <c r="V613"/>
      <c r="W613"/>
      <c r="X613"/>
      <c r="Y613"/>
      <c r="Z613" s="1430"/>
      <c r="AA613" s="1430"/>
      <c r="AB613" s="1430"/>
      <c r="AC613" s="1430"/>
      <c r="AD613" s="1430"/>
      <c r="AE613" s="1430"/>
      <c r="AF613"/>
      <c r="AG613"/>
      <c r="AH613" s="33" t="s">
        <v>206</v>
      </c>
      <c r="AI613" s="1361"/>
      <c r="AJ613" s="1361"/>
      <c r="AK613" s="1361"/>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80"/>
      <c r="I614" s="1380"/>
      <c r="J614" s="1380"/>
      <c r="K614" s="1380"/>
      <c r="L614" s="1380"/>
      <c r="M614" s="1380"/>
      <c r="N614" s="1380"/>
      <c r="O614" s="1380"/>
      <c r="P614" s="1380"/>
      <c r="Q614" s="1380"/>
      <c r="R614" s="1380"/>
      <c r="S614"/>
      <c r="T614" s="22"/>
      <c r="U614" t="s">
        <v>18</v>
      </c>
      <c r="V614"/>
      <c r="W614"/>
      <c r="X614"/>
      <c r="Y614"/>
      <c r="Z614"/>
      <c r="AA614" s="1380"/>
      <c r="AB614" s="1380"/>
      <c r="AC614" s="1380"/>
      <c r="AD614" s="1380"/>
      <c r="AE614" s="1380"/>
      <c r="AF614" s="1380"/>
      <c r="AG614" s="1380"/>
      <c r="AH614" s="1380"/>
      <c r="AI614" s="1380"/>
      <c r="AJ614" s="1380"/>
      <c r="AK614" s="1380"/>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9" t="s">
        <v>668</v>
      </c>
      <c r="O615" s="1399"/>
      <c r="P615"/>
      <c r="Q615"/>
      <c r="R615"/>
      <c r="S615"/>
      <c r="T615" s="22"/>
      <c r="U615" t="s">
        <v>20</v>
      </c>
      <c r="V615"/>
      <c r="W615"/>
      <c r="X615"/>
      <c r="Y615"/>
      <c r="Z615"/>
      <c r="AA615"/>
      <c r="AB615"/>
      <c r="AC615"/>
      <c r="AD615"/>
      <c r="AE615"/>
      <c r="AF615"/>
      <c r="AG615" s="1399" t="s">
        <v>668</v>
      </c>
      <c r="AH615" s="139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89">
        <f>C572</f>
        <v>0</v>
      </c>
      <c r="H617" s="1389"/>
      <c r="I617" s="1389"/>
      <c r="J617" s="1389"/>
      <c r="K617" s="1389"/>
      <c r="L617" s="1389"/>
      <c r="M617" s="1389"/>
      <c r="N617" s="1389"/>
      <c r="O617" s="1389"/>
      <c r="P617" s="1389"/>
      <c r="Q617" s="1389"/>
      <c r="R617" s="1389"/>
      <c r="T617" s="55" t="s">
        <v>363</v>
      </c>
      <c r="U617" t="s">
        <v>462</v>
      </c>
      <c r="Z617" s="1389">
        <f>C573</f>
        <v>0</v>
      </c>
      <c r="AA617" s="1389"/>
      <c r="AB617" s="1389"/>
      <c r="AC617" s="1389"/>
      <c r="AD617" s="1389"/>
      <c r="AE617" s="1389"/>
      <c r="AF617" s="1389"/>
      <c r="AG617" s="1389"/>
      <c r="AH617" s="1389"/>
      <c r="AI617" s="1389"/>
      <c r="AJ617" s="1389"/>
      <c r="AK617" s="1389"/>
      <c r="AZ617" s="3"/>
      <c r="BA617" s="3"/>
      <c r="BB617" s="3"/>
      <c r="BC617" s="3"/>
    </row>
    <row r="618" spans="1:55" ht="12.95" customHeight="1">
      <c r="B618" t="s">
        <v>85</v>
      </c>
      <c r="G618" s="1380"/>
      <c r="H618" s="1380"/>
      <c r="I618" s="1380"/>
      <c r="J618" s="1380"/>
      <c r="K618" s="1380"/>
      <c r="L618" s="1380"/>
      <c r="M618" s="1380"/>
      <c r="N618" s="1380"/>
      <c r="O618" s="1380"/>
      <c r="P618" s="1380"/>
      <c r="Q618" s="1380"/>
      <c r="R618" s="1380"/>
      <c r="U618" t="s">
        <v>85</v>
      </c>
      <c r="Z618" s="1380"/>
      <c r="AA618" s="1380"/>
      <c r="AB618" s="1380"/>
      <c r="AC618" s="1380"/>
      <c r="AD618" s="1380"/>
      <c r="AE618" s="1380"/>
      <c r="AF618" s="1380"/>
      <c r="AG618" s="1380"/>
      <c r="AH618" s="1380"/>
      <c r="AI618" s="1380"/>
      <c r="AJ618" s="1380"/>
      <c r="AK618" s="1380"/>
      <c r="AZ618" s="3"/>
      <c r="BA618" s="3"/>
      <c r="BB618" s="3"/>
      <c r="BC618" s="3"/>
    </row>
    <row r="619" spans="1:55" ht="12.95" customHeight="1">
      <c r="B619" t="s">
        <v>579</v>
      </c>
      <c r="G619" s="1380"/>
      <c r="H619" s="1380"/>
      <c r="I619" s="1380"/>
      <c r="J619" s="1380"/>
      <c r="K619" s="1380"/>
      <c r="L619" s="1380"/>
      <c r="M619" s="1380"/>
      <c r="N619" s="1380"/>
      <c r="O619" s="1380"/>
      <c r="P619" s="1380"/>
      <c r="Q619" s="1380"/>
      <c r="R619" s="1380"/>
      <c r="U619" t="s">
        <v>579</v>
      </c>
      <c r="Z619" s="1322"/>
      <c r="AA619" s="1322"/>
      <c r="AB619" s="1322"/>
      <c r="AC619" s="1322"/>
      <c r="AD619" s="1322"/>
      <c r="AE619" s="1322"/>
      <c r="AF619" s="1322"/>
      <c r="AG619" s="1322"/>
      <c r="AH619" s="1322"/>
      <c r="AI619" s="1322"/>
      <c r="AJ619" s="1322"/>
      <c r="AK619" s="1322"/>
      <c r="AZ619" s="3"/>
      <c r="BA619" s="3"/>
      <c r="BB619" s="3"/>
      <c r="BC619" s="3"/>
    </row>
    <row r="620" spans="1:55" ht="12.95" customHeight="1">
      <c r="B620" t="s">
        <v>17</v>
      </c>
      <c r="G620" s="1380"/>
      <c r="H620" s="1380"/>
      <c r="I620" s="1380"/>
      <c r="J620" s="1380"/>
      <c r="K620" s="1380"/>
      <c r="L620" s="1380"/>
      <c r="M620" s="1380"/>
      <c r="N620" s="1380"/>
      <c r="O620" s="1380"/>
      <c r="P620" s="1380"/>
      <c r="Q620" s="1380"/>
      <c r="R620" s="1380"/>
      <c r="U620" t="s">
        <v>17</v>
      </c>
      <c r="Z620" s="1322"/>
      <c r="AA620" s="1322"/>
      <c r="AB620" s="1322"/>
      <c r="AC620" s="1322"/>
      <c r="AD620" s="1322"/>
      <c r="AE620" s="1322"/>
      <c r="AF620" s="1322"/>
      <c r="AG620" s="1322"/>
      <c r="AH620" s="1322"/>
      <c r="AI620" s="1322"/>
      <c r="AJ620" s="1322"/>
      <c r="AK620" s="1322"/>
      <c r="AZ620" s="3"/>
      <c r="BA620" s="3"/>
      <c r="BB620" s="3"/>
      <c r="BC620" s="3"/>
    </row>
    <row r="621" spans="1:55" ht="12.95" customHeight="1">
      <c r="B621" t="s">
        <v>316</v>
      </c>
      <c r="G621" s="1430"/>
      <c r="H621" s="1430"/>
      <c r="I621" s="1430"/>
      <c r="J621" s="1430"/>
      <c r="K621" s="1430"/>
      <c r="L621" s="1430"/>
      <c r="O621" s="33" t="s">
        <v>206</v>
      </c>
      <c r="P621" s="1361"/>
      <c r="Q621" s="1361"/>
      <c r="R621" s="1361"/>
      <c r="U621" t="s">
        <v>316</v>
      </c>
      <c r="Z621" s="1430"/>
      <c r="AA621" s="1430"/>
      <c r="AB621" s="1430"/>
      <c r="AC621" s="1430"/>
      <c r="AD621" s="1430"/>
      <c r="AE621" s="1430"/>
      <c r="AH621" s="33" t="s">
        <v>206</v>
      </c>
      <c r="AI621" s="1361"/>
      <c r="AJ621" s="1361"/>
      <c r="AK621" s="1361"/>
      <c r="AZ621" s="3"/>
      <c r="BA621" s="3"/>
      <c r="BB621" s="3"/>
      <c r="BC621" s="3"/>
    </row>
    <row r="622" spans="1:55" ht="12.95" customHeight="1">
      <c r="B622" t="s">
        <v>18</v>
      </c>
      <c r="H622" s="1380"/>
      <c r="I622" s="1380"/>
      <c r="J622" s="1380"/>
      <c r="K622" s="1380"/>
      <c r="L622" s="1380"/>
      <c r="M622" s="1380"/>
      <c r="N622" s="1380"/>
      <c r="O622" s="1380"/>
      <c r="P622" s="1380"/>
      <c r="Q622" s="1380"/>
      <c r="R622" s="1380"/>
      <c r="U622" t="s">
        <v>18</v>
      </c>
      <c r="AA622" s="1380"/>
      <c r="AB622" s="1380"/>
      <c r="AC622" s="1380"/>
      <c r="AD622" s="1380"/>
      <c r="AE622" s="1380"/>
      <c r="AF622" s="1380"/>
      <c r="AG622" s="1380"/>
      <c r="AH622" s="1380"/>
      <c r="AI622" s="1380"/>
      <c r="AJ622" s="1380"/>
      <c r="AK622" s="1380"/>
      <c r="AU622" s="895"/>
      <c r="AV622" s="895"/>
      <c r="AW622" s="895"/>
      <c r="AX622" s="895"/>
      <c r="AY622" s="895"/>
      <c r="AZ622" s="3"/>
      <c r="BA622" s="3"/>
      <c r="BB622" s="3"/>
      <c r="BC622" s="3"/>
    </row>
    <row r="623" spans="1:55" ht="12.95" customHeight="1">
      <c r="B623" t="s">
        <v>20</v>
      </c>
      <c r="N623" s="1399" t="s">
        <v>668</v>
      </c>
      <c r="O623" s="1399"/>
      <c r="U623" t="s">
        <v>20</v>
      </c>
      <c r="AG623" s="1399" t="s">
        <v>668</v>
      </c>
      <c r="AH623" s="1399"/>
      <c r="AU623" s="895"/>
      <c r="AV623" s="895"/>
      <c r="AW623" s="895"/>
      <c r="AX623" s="895"/>
      <c r="AY623" s="895"/>
      <c r="AZ623" s="3"/>
      <c r="BA623" s="3"/>
      <c r="BB623" s="3"/>
      <c r="BC623" s="3"/>
    </row>
    <row r="624" spans="1:55" ht="12.95" customHeight="1">
      <c r="AZ624" s="3"/>
      <c r="BA624" s="3"/>
      <c r="BB624" s="3"/>
      <c r="BC624" s="3"/>
    </row>
    <row r="625" spans="1:56" ht="12.95" customHeight="1">
      <c r="A625" s="1400" t="s">
        <v>543</v>
      </c>
      <c r="B625" s="1400"/>
      <c r="C625" s="1400"/>
      <c r="D625" s="1400"/>
      <c r="E625" s="1400"/>
      <c r="F625" s="1400"/>
      <c r="G625" s="1400"/>
      <c r="H625" s="1400"/>
      <c r="I625" s="1400"/>
      <c r="J625" s="1400"/>
      <c r="K625" s="1400"/>
      <c r="L625" s="1400"/>
      <c r="M625" s="1400"/>
      <c r="N625" s="1400"/>
      <c r="O625" s="1400"/>
      <c r="P625" s="1400"/>
      <c r="Q625" s="1400"/>
      <c r="R625" s="1400"/>
      <c r="S625" s="1400"/>
      <c r="T625" s="1400"/>
      <c r="U625" s="1400"/>
      <c r="V625" s="1400"/>
      <c r="W625" s="1400"/>
      <c r="X625" s="1400"/>
      <c r="Y625" s="1400"/>
      <c r="Z625" s="1400"/>
      <c r="AA625" s="1400"/>
      <c r="AB625" s="1400"/>
      <c r="AC625" s="1400"/>
      <c r="AD625" s="1400"/>
      <c r="AE625" s="1400"/>
      <c r="AF625" s="1400"/>
      <c r="AG625" s="1400"/>
      <c r="AH625" s="1400"/>
      <c r="AI625" s="1400"/>
      <c r="AJ625" s="1400"/>
      <c r="AK625" s="1400"/>
      <c r="AL625" s="1400"/>
      <c r="AM625" s="1400"/>
      <c r="AN625" s="1400"/>
      <c r="AO625" s="1400"/>
      <c r="AP625" s="1400"/>
      <c r="AQ625" s="1400"/>
      <c r="AR625" s="1400"/>
      <c r="AS625" s="1400"/>
      <c r="AT625" s="1400"/>
      <c r="AZ625" s="3"/>
      <c r="BA625" s="3"/>
      <c r="BB625" s="3"/>
      <c r="BC625" s="3"/>
    </row>
    <row r="626" spans="1:56" ht="12.95" customHeight="1">
      <c r="A626" s="1400"/>
      <c r="B626" s="1400"/>
      <c r="C626" s="1400"/>
      <c r="D626" s="1400"/>
      <c r="E626" s="1400"/>
      <c r="F626" s="1400"/>
      <c r="G626" s="1400"/>
      <c r="H626" s="1400"/>
      <c r="I626" s="1400"/>
      <c r="J626" s="1400"/>
      <c r="K626" s="1400"/>
      <c r="L626" s="1400"/>
      <c r="M626" s="1400"/>
      <c r="N626" s="1400"/>
      <c r="O626" s="1400"/>
      <c r="P626" s="1400"/>
      <c r="Q626" s="1400"/>
      <c r="R626" s="1400"/>
      <c r="S626" s="1400"/>
      <c r="T626" s="1400"/>
      <c r="U626" s="1400"/>
      <c r="V626" s="1400"/>
      <c r="W626" s="1400"/>
      <c r="X626" s="1400"/>
      <c r="Y626" s="1400"/>
      <c r="Z626" s="1400"/>
      <c r="AA626" s="1400"/>
      <c r="AB626" s="1400"/>
      <c r="AC626" s="1400"/>
      <c r="AD626" s="1400"/>
      <c r="AE626" s="1400"/>
      <c r="AF626" s="1400"/>
      <c r="AG626" s="1400"/>
      <c r="AH626" s="1400"/>
      <c r="AI626" s="1400"/>
      <c r="AJ626" s="1400"/>
      <c r="AK626" s="1400"/>
      <c r="AL626" s="1400"/>
      <c r="AM626" s="1400"/>
      <c r="AN626" s="1400"/>
      <c r="AO626" s="1400"/>
      <c r="AP626" s="1400"/>
      <c r="AQ626" s="1400"/>
      <c r="AR626" s="1400"/>
      <c r="AS626" s="1400"/>
      <c r="AT626" s="1400"/>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604" t="s">
        <v>2055</v>
      </c>
      <c r="C632" s="1604"/>
      <c r="D632" s="1604"/>
      <c r="E632" s="1604"/>
      <c r="F632" s="1604"/>
      <c r="G632" s="1604"/>
      <c r="H632" s="1604"/>
      <c r="I632" s="1604"/>
      <c r="J632" s="1604"/>
      <c r="K632" s="1604"/>
      <c r="L632" s="1604"/>
      <c r="M632" s="1601" t="s">
        <v>2056</v>
      </c>
      <c r="N632" s="1601"/>
      <c r="O632" s="1601"/>
      <c r="P632" s="1601"/>
      <c r="Q632" s="1601" t="s">
        <v>1826</v>
      </c>
      <c r="R632" s="1601"/>
      <c r="S632" s="1601"/>
      <c r="T632" s="1601" t="s">
        <v>1824</v>
      </c>
      <c r="U632" s="1601"/>
      <c r="V632" s="1601"/>
      <c r="W632" s="1600" t="s">
        <v>452</v>
      </c>
      <c r="X632" s="1600"/>
      <c r="Y632" s="1600"/>
      <c r="Z632" s="1342" t="s">
        <v>2085</v>
      </c>
      <c r="AA632" s="1342"/>
      <c r="AB632" s="1343"/>
      <c r="AC632" s="1749" t="s">
        <v>1663</v>
      </c>
      <c r="AD632" s="1750"/>
      <c r="AE632" s="1751"/>
      <c r="AF632" s="1341" t="s">
        <v>1901</v>
      </c>
      <c r="AG632" s="1342"/>
      <c r="AH632" s="1342"/>
      <c r="AI632" s="1342"/>
      <c r="AJ632" s="1343"/>
      <c r="AK632" s="1769" t="s">
        <v>1902</v>
      </c>
      <c r="AL632" s="1770"/>
      <c r="AM632" s="1770"/>
      <c r="AN632" s="1771"/>
      <c r="AO632" s="1601" t="s">
        <v>453</v>
      </c>
      <c r="AP632" s="1601"/>
      <c r="AQ632" s="1601"/>
      <c r="AR632" s="1601"/>
      <c r="AS632" s="1601"/>
      <c r="AU632" s="3"/>
      <c r="AZ632" s="3"/>
      <c r="BA632" s="3"/>
      <c r="BB632" s="3"/>
      <c r="BC632" s="3"/>
    </row>
    <row r="633" spans="1:56" ht="12.95" customHeight="1">
      <c r="B633" s="1604"/>
      <c r="C633" s="1604"/>
      <c r="D633" s="1604"/>
      <c r="E633" s="1604"/>
      <c r="F633" s="1604"/>
      <c r="G633" s="1604"/>
      <c r="H633" s="1604"/>
      <c r="I633" s="1604"/>
      <c r="J633" s="1604"/>
      <c r="K633" s="1604"/>
      <c r="L633" s="1604"/>
      <c r="M633" s="1601"/>
      <c r="N633" s="1601"/>
      <c r="O633" s="1601"/>
      <c r="P633" s="1601"/>
      <c r="Q633" s="1601"/>
      <c r="R633" s="1601"/>
      <c r="S633" s="1601"/>
      <c r="T633" s="1601"/>
      <c r="U633" s="1601"/>
      <c r="V633" s="1601"/>
      <c r="W633" s="1600"/>
      <c r="X633" s="1600"/>
      <c r="Y633" s="1600"/>
      <c r="Z633" s="1345"/>
      <c r="AA633" s="1345"/>
      <c r="AB633" s="1346"/>
      <c r="AC633" s="1752"/>
      <c r="AD633" s="1753"/>
      <c r="AE633" s="1754"/>
      <c r="AF633" s="1344"/>
      <c r="AG633" s="1345"/>
      <c r="AH633" s="1345"/>
      <c r="AI633" s="1345"/>
      <c r="AJ633" s="1346"/>
      <c r="AK633" s="1772"/>
      <c r="AL633" s="1773"/>
      <c r="AM633" s="1773"/>
      <c r="AN633" s="1774"/>
      <c r="AO633" s="1601"/>
      <c r="AP633" s="1601"/>
      <c r="AQ633" s="1601"/>
      <c r="AR633" s="1601"/>
      <c r="AS633" s="1601"/>
      <c r="AU633" s="3"/>
      <c r="AZ633" s="3"/>
      <c r="BA633" s="3"/>
      <c r="BB633" s="3"/>
      <c r="BC633" s="3"/>
      <c r="BD633" s="3"/>
    </row>
    <row r="634" spans="1:56" ht="12.95" customHeight="1">
      <c r="B634" s="1604"/>
      <c r="C634" s="1604"/>
      <c r="D634" s="1604"/>
      <c r="E634" s="1604"/>
      <c r="F634" s="1604"/>
      <c r="G634" s="1604"/>
      <c r="H634" s="1604"/>
      <c r="I634" s="1604"/>
      <c r="J634" s="1604"/>
      <c r="K634" s="1604"/>
      <c r="L634" s="1604"/>
      <c r="M634" s="1601"/>
      <c r="N634" s="1601"/>
      <c r="O634" s="1601"/>
      <c r="P634" s="1601"/>
      <c r="Q634" s="1601"/>
      <c r="R634" s="1601"/>
      <c r="S634" s="1601"/>
      <c r="T634" s="1601"/>
      <c r="U634" s="1601"/>
      <c r="V634" s="1601"/>
      <c r="W634" s="1600"/>
      <c r="X634" s="1600"/>
      <c r="Y634" s="1600"/>
      <c r="Z634" s="1348"/>
      <c r="AA634" s="1348"/>
      <c r="AB634" s="1349"/>
      <c r="AC634" s="1755"/>
      <c r="AD634" s="1756"/>
      <c r="AE634" s="1757"/>
      <c r="AF634" s="1347"/>
      <c r="AG634" s="1348"/>
      <c r="AH634" s="1348"/>
      <c r="AI634" s="1348"/>
      <c r="AJ634" s="1349"/>
      <c r="AK634" s="1775"/>
      <c r="AL634" s="1776"/>
      <c r="AM634" s="1776"/>
      <c r="AN634" s="1777"/>
      <c r="AO634" s="1601"/>
      <c r="AP634" s="1601"/>
      <c r="AQ634" s="1601"/>
      <c r="AR634" s="1601"/>
      <c r="AS634" s="1601"/>
      <c r="AT634" s="3"/>
      <c r="AU634" s="3"/>
      <c r="AZ634" s="3"/>
      <c r="BA634" s="3"/>
      <c r="BB634" s="3"/>
      <c r="BC634" s="3"/>
      <c r="BD634" s="3"/>
    </row>
    <row r="635" spans="1:56" ht="12.95" customHeight="1">
      <c r="B635" s="51" t="s">
        <v>112</v>
      </c>
      <c r="C635" s="1429" t="s">
        <v>2730</v>
      </c>
      <c r="D635" s="1429"/>
      <c r="E635" s="1429"/>
      <c r="F635" s="1429"/>
      <c r="G635" s="1429"/>
      <c r="H635" s="1429"/>
      <c r="I635" s="1429"/>
      <c r="J635" s="1429"/>
      <c r="K635" s="1429"/>
      <c r="L635" s="1429"/>
      <c r="M635" s="1542" t="s">
        <v>2072</v>
      </c>
      <c r="N635" s="1542"/>
      <c r="O635" s="1542"/>
      <c r="P635" s="1542"/>
      <c r="Q635" s="1402">
        <v>204</v>
      </c>
      <c r="R635" s="1402"/>
      <c r="S635" s="1403"/>
      <c r="T635" s="1401">
        <v>480</v>
      </c>
      <c r="U635" s="1402"/>
      <c r="V635" s="1403"/>
      <c r="W635" s="1381">
        <v>6.6500000000000004E-2</v>
      </c>
      <c r="X635" s="1382"/>
      <c r="Y635" s="1383"/>
      <c r="Z635" s="1371" t="s">
        <v>2084</v>
      </c>
      <c r="AA635" s="1372"/>
      <c r="AB635" s="1373"/>
      <c r="AC635" s="1328"/>
      <c r="AD635" s="1329"/>
      <c r="AE635" s="1330"/>
      <c r="AF635" s="1404">
        <v>1119939.394125052</v>
      </c>
      <c r="AG635" s="1405"/>
      <c r="AH635" s="1405"/>
      <c r="AI635" s="1405"/>
      <c r="AJ635" s="1406"/>
      <c r="AK635" s="1386"/>
      <c r="AL635" s="1387"/>
      <c r="AM635" s="1387"/>
      <c r="AN635" s="1388"/>
      <c r="AO635" s="1563">
        <v>15654500</v>
      </c>
      <c r="AP635" s="1563"/>
      <c r="AQ635" s="1563"/>
      <c r="AR635" s="1563"/>
      <c r="AS635" s="1563"/>
      <c r="AT635" s="3"/>
      <c r="AU635" s="3"/>
      <c r="AZ635" s="3"/>
      <c r="BA635" s="3"/>
      <c r="BB635" s="3"/>
      <c r="BC635" s="3"/>
      <c r="BD635" s="3"/>
    </row>
    <row r="636" spans="1:56" ht="12.95" customHeight="1">
      <c r="B636" s="52" t="s">
        <v>113</v>
      </c>
      <c r="C636" s="1429" t="s">
        <v>2725</v>
      </c>
      <c r="D636" s="1429"/>
      <c r="E636" s="1429"/>
      <c r="F636" s="1429"/>
      <c r="G636" s="1429"/>
      <c r="H636" s="1429"/>
      <c r="I636" s="1429"/>
      <c r="J636" s="1429"/>
      <c r="K636" s="1429"/>
      <c r="L636" s="1429"/>
      <c r="M636" s="1542" t="s">
        <v>2071</v>
      </c>
      <c r="N636" s="1542"/>
      <c r="O636" s="1542"/>
      <c r="P636" s="1542"/>
      <c r="Q636" s="1401">
        <v>204</v>
      </c>
      <c r="R636" s="1402"/>
      <c r="S636" s="1403"/>
      <c r="T636" s="1401">
        <v>480</v>
      </c>
      <c r="U636" s="1402"/>
      <c r="V636" s="1403"/>
      <c r="W636" s="1381">
        <v>7.400000000000001E-2</v>
      </c>
      <c r="X636" s="1382"/>
      <c r="Y636" s="1383"/>
      <c r="Z636" s="1371" t="s">
        <v>2084</v>
      </c>
      <c r="AA636" s="1372"/>
      <c r="AB636" s="1373"/>
      <c r="AC636" s="1328"/>
      <c r="AD636" s="1329"/>
      <c r="AE636" s="1330"/>
      <c r="AF636" s="1404">
        <v>60365.781288816594</v>
      </c>
      <c r="AG636" s="1405"/>
      <c r="AH636" s="1405"/>
      <c r="AI636" s="1405"/>
      <c r="AJ636" s="1406"/>
      <c r="AK636" s="1386"/>
      <c r="AL636" s="1387"/>
      <c r="AM636" s="1387"/>
      <c r="AN636" s="1388"/>
      <c r="AO636" s="1368">
        <v>774000</v>
      </c>
      <c r="AP636" s="1369"/>
      <c r="AQ636" s="1369"/>
      <c r="AR636" s="1369"/>
      <c r="AS636" s="1370"/>
      <c r="AT636" s="1142" t="str">
        <f>IF(AND(NOT(C635=""),C636="",NOT(C637="")),"!","")</f>
        <v/>
      </c>
      <c r="AU636" s="3"/>
      <c r="AZ636" s="3"/>
      <c r="BA636" s="3"/>
      <c r="BB636" s="3"/>
      <c r="BC636" s="3"/>
      <c r="BD636" s="3"/>
    </row>
    <row r="637" spans="1:56" ht="12.95" customHeight="1">
      <c r="B637" s="52" t="s">
        <v>119</v>
      </c>
      <c r="C637" s="1429" t="s">
        <v>2726</v>
      </c>
      <c r="D637" s="1429"/>
      <c r="E637" s="1429"/>
      <c r="F637" s="1429"/>
      <c r="G637" s="1429"/>
      <c r="H637" s="1429"/>
      <c r="I637" s="1429"/>
      <c r="J637" s="1429"/>
      <c r="K637" s="1429"/>
      <c r="L637" s="1429"/>
      <c r="M637" s="1542" t="s">
        <v>2075</v>
      </c>
      <c r="N637" s="1542"/>
      <c r="O637" s="1542"/>
      <c r="P637" s="1542"/>
      <c r="Q637" s="1401">
        <v>1188</v>
      </c>
      <c r="R637" s="1402"/>
      <c r="S637" s="1403"/>
      <c r="T637" s="1401"/>
      <c r="U637" s="1402"/>
      <c r="V637" s="1403"/>
      <c r="W637" s="1381">
        <v>5.2499999999999998E-2</v>
      </c>
      <c r="X637" s="1382"/>
      <c r="Y637" s="1383"/>
      <c r="Z637" s="1371" t="s">
        <v>300</v>
      </c>
      <c r="AA637" s="1372"/>
      <c r="AB637" s="1373"/>
      <c r="AC637" s="1328"/>
      <c r="AD637" s="1329"/>
      <c r="AE637" s="1330"/>
      <c r="AF637" s="1404"/>
      <c r="AG637" s="1405"/>
      <c r="AH637" s="1405"/>
      <c r="AI637" s="1405"/>
      <c r="AJ637" s="1406"/>
      <c r="AK637" s="1386"/>
      <c r="AL637" s="1387"/>
      <c r="AM637" s="1387"/>
      <c r="AN637" s="1388"/>
      <c r="AO637" s="1368">
        <v>6850000</v>
      </c>
      <c r="AP637" s="1369"/>
      <c r="AQ637" s="1369"/>
      <c r="AR637" s="1369"/>
      <c r="AS637" s="1370"/>
      <c r="AT637" s="1142" t="str">
        <f t="shared" ref="AT637:AT646" si="3">IF(AND(NOT(C636=""),C637="",NOT(C638="")),"!","")</f>
        <v/>
      </c>
      <c r="AU637" s="3"/>
      <c r="AZ637" s="3"/>
      <c r="BA637" s="3"/>
      <c r="BB637" s="3"/>
      <c r="BC637" s="3"/>
      <c r="BD637" s="3"/>
    </row>
    <row r="638" spans="1:56" ht="12.95" customHeight="1">
      <c r="B638" s="52" t="s">
        <v>580</v>
      </c>
      <c r="C638" s="1528" t="s">
        <v>2731</v>
      </c>
      <c r="D638" s="1528"/>
      <c r="E638" s="1528"/>
      <c r="F638" s="1528"/>
      <c r="G638" s="1528"/>
      <c r="H638" s="1528"/>
      <c r="I638" s="1528"/>
      <c r="J638" s="1528"/>
      <c r="K638" s="1528"/>
      <c r="L638" s="1528"/>
      <c r="M638" s="1542" t="s">
        <v>2059</v>
      </c>
      <c r="N638" s="1542"/>
      <c r="O638" s="1542"/>
      <c r="P638" s="1542"/>
      <c r="Q638" s="1401"/>
      <c r="R638" s="1402"/>
      <c r="S638" s="1403"/>
      <c r="T638" s="1401"/>
      <c r="U638" s="1402"/>
      <c r="V638" s="1403"/>
      <c r="W638" s="1381"/>
      <c r="X638" s="1382"/>
      <c r="Y638" s="1383"/>
      <c r="Z638" s="1371" t="s">
        <v>457</v>
      </c>
      <c r="AA638" s="1372"/>
      <c r="AB638" s="1373"/>
      <c r="AC638" s="1328"/>
      <c r="AD638" s="1329"/>
      <c r="AE638" s="1330"/>
      <c r="AF638" s="1404"/>
      <c r="AG638" s="1405"/>
      <c r="AH638" s="1405"/>
      <c r="AI638" s="1405"/>
      <c r="AJ638" s="1406"/>
      <c r="AK638" s="1386"/>
      <c r="AL638" s="1387"/>
      <c r="AM638" s="1387"/>
      <c r="AN638" s="1388"/>
      <c r="AO638" s="1368">
        <v>5301154</v>
      </c>
      <c r="AP638" s="1369"/>
      <c r="AQ638" s="1369"/>
      <c r="AR638" s="1369"/>
      <c r="AS638" s="1370"/>
      <c r="AT638" s="1142" t="str">
        <f t="shared" si="3"/>
        <v/>
      </c>
      <c r="AU638" s="3"/>
      <c r="AZ638" s="3"/>
      <c r="BA638" s="3"/>
      <c r="BB638" s="3"/>
      <c r="BC638" s="3"/>
      <c r="BD638" s="3"/>
    </row>
    <row r="639" spans="1:56" ht="12.95" customHeight="1">
      <c r="B639" s="52" t="s">
        <v>762</v>
      </c>
      <c r="C639" s="1528"/>
      <c r="D639" s="1528"/>
      <c r="E639" s="1528"/>
      <c r="F639" s="1528"/>
      <c r="G639" s="1528"/>
      <c r="H639" s="1528"/>
      <c r="I639" s="1528"/>
      <c r="J639" s="1528"/>
      <c r="K639" s="1528"/>
      <c r="L639" s="1528"/>
      <c r="M639" s="1542" t="s">
        <v>1182</v>
      </c>
      <c r="N639" s="1542"/>
      <c r="O639" s="1542"/>
      <c r="P639" s="1542"/>
      <c r="Q639" s="1401"/>
      <c r="R639" s="1402"/>
      <c r="S639" s="1403"/>
      <c r="T639" s="1401"/>
      <c r="U639" s="1402"/>
      <c r="V639" s="1403"/>
      <c r="W639" s="1381"/>
      <c r="X639" s="1382"/>
      <c r="Y639" s="1383"/>
      <c r="Z639" s="1371" t="s">
        <v>1182</v>
      </c>
      <c r="AA639" s="1372"/>
      <c r="AB639" s="1373"/>
      <c r="AC639" s="1328"/>
      <c r="AD639" s="1329"/>
      <c r="AE639" s="1330"/>
      <c r="AF639" s="1404"/>
      <c r="AG639" s="1405"/>
      <c r="AH639" s="1405"/>
      <c r="AI639" s="1405"/>
      <c r="AJ639" s="1406"/>
      <c r="AK639" s="1386"/>
      <c r="AL639" s="1387"/>
      <c r="AM639" s="1387"/>
      <c r="AN639" s="1388"/>
      <c r="AO639" s="1368"/>
      <c r="AP639" s="1369"/>
      <c r="AQ639" s="1369"/>
      <c r="AR639" s="1369"/>
      <c r="AS639" s="1370"/>
      <c r="AT639" s="1142" t="str">
        <f t="shared" si="3"/>
        <v/>
      </c>
      <c r="AU639" s="3"/>
      <c r="AZ639" s="3"/>
      <c r="BA639" s="3"/>
      <c r="BB639" s="3"/>
      <c r="BC639" s="3"/>
      <c r="BD639" s="3"/>
    </row>
    <row r="640" spans="1:56" ht="12.95" customHeight="1">
      <c r="B640" s="52" t="s">
        <v>583</v>
      </c>
      <c r="C640" s="1528"/>
      <c r="D640" s="1528"/>
      <c r="E640" s="1528"/>
      <c r="F640" s="1528"/>
      <c r="G640" s="1528"/>
      <c r="H640" s="1528"/>
      <c r="I640" s="1528"/>
      <c r="J640" s="1528"/>
      <c r="K640" s="1528"/>
      <c r="L640" s="1528"/>
      <c r="M640" s="1542" t="s">
        <v>1182</v>
      </c>
      <c r="N640" s="1542"/>
      <c r="O640" s="1542"/>
      <c r="P640" s="1542"/>
      <c r="Q640" s="1401"/>
      <c r="R640" s="1402"/>
      <c r="S640" s="1403"/>
      <c r="T640" s="1401"/>
      <c r="U640" s="1402"/>
      <c r="V640" s="1403"/>
      <c r="W640" s="1381"/>
      <c r="X640" s="1382"/>
      <c r="Y640" s="1383"/>
      <c r="Z640" s="1371" t="s">
        <v>1182</v>
      </c>
      <c r="AA640" s="1372"/>
      <c r="AB640" s="1373"/>
      <c r="AC640" s="1328"/>
      <c r="AD640" s="1329"/>
      <c r="AE640" s="1330"/>
      <c r="AF640" s="1404"/>
      <c r="AG640" s="1405"/>
      <c r="AH640" s="1405"/>
      <c r="AI640" s="1405"/>
      <c r="AJ640" s="1406"/>
      <c r="AK640" s="1386"/>
      <c r="AL640" s="1387"/>
      <c r="AM640" s="1387"/>
      <c r="AN640" s="1388"/>
      <c r="AO640" s="1368"/>
      <c r="AP640" s="1369"/>
      <c r="AQ640" s="1369"/>
      <c r="AR640" s="1369"/>
      <c r="AS640" s="1370"/>
      <c r="AT640" s="1142" t="str">
        <f t="shared" si="3"/>
        <v/>
      </c>
      <c r="AU640" s="3"/>
      <c r="AZ640" s="3"/>
      <c r="BA640" s="3"/>
      <c r="BB640" s="3"/>
      <c r="BC640" s="3"/>
      <c r="BD640" s="3"/>
    </row>
    <row r="641" spans="1:157" ht="12.95" customHeight="1">
      <c r="B641" s="52" t="s">
        <v>454</v>
      </c>
      <c r="C641" s="1528"/>
      <c r="D641" s="1528"/>
      <c r="E641" s="1528"/>
      <c r="F641" s="1528"/>
      <c r="G641" s="1528"/>
      <c r="H641" s="1528"/>
      <c r="I641" s="1528"/>
      <c r="J641" s="1528"/>
      <c r="K641" s="1528"/>
      <c r="L641" s="1528"/>
      <c r="M641" s="1542" t="s">
        <v>1182</v>
      </c>
      <c r="N641" s="1542"/>
      <c r="O641" s="1542"/>
      <c r="P641" s="1542"/>
      <c r="Q641" s="1401"/>
      <c r="R641" s="1402"/>
      <c r="S641" s="1403"/>
      <c r="T641" s="1401"/>
      <c r="U641" s="1402"/>
      <c r="V641" s="1403"/>
      <c r="W641" s="1381"/>
      <c r="X641" s="1382"/>
      <c r="Y641" s="1383"/>
      <c r="Z641" s="1371" t="s">
        <v>1182</v>
      </c>
      <c r="AA641" s="1372"/>
      <c r="AB641" s="1373"/>
      <c r="AC641" s="1328"/>
      <c r="AD641" s="1329"/>
      <c r="AE641" s="1330"/>
      <c r="AF641" s="1404"/>
      <c r="AG641" s="1405"/>
      <c r="AH641" s="1405"/>
      <c r="AI641" s="1405"/>
      <c r="AJ641" s="1406"/>
      <c r="AK641" s="1386"/>
      <c r="AL641" s="1387"/>
      <c r="AM641" s="1387"/>
      <c r="AN641" s="1388"/>
      <c r="AO641" s="1368"/>
      <c r="AP641" s="1369"/>
      <c r="AQ641" s="1369"/>
      <c r="AR641" s="1369"/>
      <c r="AS641" s="1370"/>
      <c r="AT641" s="1142" t="str">
        <f t="shared" si="3"/>
        <v/>
      </c>
      <c r="AU641" s="3"/>
      <c r="AV641" s="3"/>
      <c r="AW641" s="3"/>
      <c r="AX641" s="3"/>
      <c r="AY641" s="3"/>
      <c r="AZ641" s="3"/>
      <c r="BA641" s="3"/>
      <c r="BB641" s="3"/>
      <c r="BC641" s="3"/>
      <c r="BD641" s="3"/>
    </row>
    <row r="642" spans="1:157" ht="12.95" customHeight="1">
      <c r="B642" s="52" t="s">
        <v>455</v>
      </c>
      <c r="C642" s="1528"/>
      <c r="D642" s="1528"/>
      <c r="E642" s="1528"/>
      <c r="F642" s="1528"/>
      <c r="G642" s="1528"/>
      <c r="H642" s="1528"/>
      <c r="I642" s="1528"/>
      <c r="J642" s="1528"/>
      <c r="K642" s="1528"/>
      <c r="L642" s="1528"/>
      <c r="M642" s="1542" t="s">
        <v>1182</v>
      </c>
      <c r="N642" s="1542"/>
      <c r="O642" s="1542"/>
      <c r="P642" s="1542"/>
      <c r="Q642" s="1401"/>
      <c r="R642" s="1402"/>
      <c r="S642" s="1403"/>
      <c r="T642" s="1401"/>
      <c r="U642" s="1402"/>
      <c r="V642" s="1403"/>
      <c r="W642" s="1381"/>
      <c r="X642" s="1382"/>
      <c r="Y642" s="1383"/>
      <c r="Z642" s="1371" t="s">
        <v>1182</v>
      </c>
      <c r="AA642" s="1372"/>
      <c r="AB642" s="1373"/>
      <c r="AC642" s="1328"/>
      <c r="AD642" s="1329"/>
      <c r="AE642" s="1330"/>
      <c r="AF642" s="1404"/>
      <c r="AG642" s="1405"/>
      <c r="AH642" s="1405"/>
      <c r="AI642" s="1405"/>
      <c r="AJ642" s="1406"/>
      <c r="AK642" s="1386"/>
      <c r="AL642" s="1387"/>
      <c r="AM642" s="1387"/>
      <c r="AN642" s="1388"/>
      <c r="AO642" s="1368"/>
      <c r="AP642" s="1369"/>
      <c r="AQ642" s="1369"/>
      <c r="AR642" s="1369"/>
      <c r="AS642" s="1370"/>
      <c r="AT642" s="1142" t="str">
        <f t="shared" si="3"/>
        <v/>
      </c>
      <c r="AU642" s="3"/>
      <c r="AV642" s="3"/>
      <c r="AW642" s="3"/>
      <c r="AX642" s="3"/>
      <c r="AY642" s="3"/>
      <c r="AZ642" s="3"/>
      <c r="BA642" s="3" t="s">
        <v>1182</v>
      </c>
      <c r="BB642" s="3"/>
      <c r="BC642" s="3"/>
      <c r="BD642" s="3"/>
    </row>
    <row r="643" spans="1:157" ht="12.95" customHeight="1">
      <c r="B643" s="52" t="s">
        <v>460</v>
      </c>
      <c r="C643" s="1528"/>
      <c r="D643" s="1528"/>
      <c r="E643" s="1528"/>
      <c r="F643" s="1528"/>
      <c r="G643" s="1528"/>
      <c r="H643" s="1528"/>
      <c r="I643" s="1528"/>
      <c r="J643" s="1528"/>
      <c r="K643" s="1528"/>
      <c r="L643" s="1528"/>
      <c r="M643" s="1542" t="s">
        <v>1182</v>
      </c>
      <c r="N643" s="1542"/>
      <c r="O643" s="1542"/>
      <c r="P643" s="1542"/>
      <c r="Q643" s="1401"/>
      <c r="R643" s="1402"/>
      <c r="S643" s="1403"/>
      <c r="T643" s="1401"/>
      <c r="U643" s="1402"/>
      <c r="V643" s="1403"/>
      <c r="W643" s="1381"/>
      <c r="X643" s="1382"/>
      <c r="Y643" s="1383"/>
      <c r="Z643" s="1371" t="s">
        <v>1182</v>
      </c>
      <c r="AA643" s="1372"/>
      <c r="AB643" s="1373"/>
      <c r="AC643" s="1328"/>
      <c r="AD643" s="1329"/>
      <c r="AE643" s="1330"/>
      <c r="AF643" s="1404"/>
      <c r="AG643" s="1405"/>
      <c r="AH643" s="1405"/>
      <c r="AI643" s="1405"/>
      <c r="AJ643" s="1406"/>
      <c r="AK643" s="1386"/>
      <c r="AL643" s="1387"/>
      <c r="AM643" s="1387"/>
      <c r="AN643" s="1388"/>
      <c r="AO643" s="1368"/>
      <c r="AP643" s="1369"/>
      <c r="AQ643" s="1369"/>
      <c r="AR643" s="1369"/>
      <c r="AS643" s="137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09" t="e">
        <f t="shared" ref="DX643:DX677" si="4">EZ726*(CP726/$CP$761)</f>
        <v>#VALUE!</v>
      </c>
      <c r="DY643" s="1309"/>
      <c r="DZ643" s="1309"/>
      <c r="EA643" s="1309"/>
      <c r="EB643" s="1309"/>
      <c r="EC643" s="1309">
        <f t="shared" ref="EC643:EC677" si="5">FE726*(CU726/$CU$761)</f>
        <v>203.54098360655738</v>
      </c>
      <c r="ED643" s="1309"/>
      <c r="EE643" s="1309"/>
      <c r="EF643" s="1309"/>
      <c r="EG643" s="1309"/>
      <c r="EH643" s="1309" t="e">
        <f t="shared" ref="EH643:EH677" si="6">FJ726*(CZ726/$CZ$761)</f>
        <v>#VALUE!</v>
      </c>
      <c r="EI643" s="1309"/>
      <c r="EJ643" s="1309"/>
      <c r="EK643" s="1309"/>
      <c r="EL643" s="1309"/>
      <c r="EM643" s="1309" t="e">
        <f t="shared" ref="EM643:EM677" si="7">FO726*(DE726/$DE$761)</f>
        <v>#VALUE!</v>
      </c>
      <c r="EN643" s="1309"/>
      <c r="EO643" s="1309"/>
      <c r="EP643" s="1309"/>
      <c r="EQ643" s="1309"/>
      <c r="ER643" s="1309" t="e">
        <f t="shared" ref="ER643:ER677" si="8">FT726*(DJ726/$DJ$761)</f>
        <v>#VALUE!</v>
      </c>
      <c r="ES643" s="1309"/>
      <c r="ET643" s="1309"/>
      <c r="EU643" s="1309"/>
      <c r="EV643" s="1309"/>
      <c r="EW643" s="1309" t="e">
        <f t="shared" ref="EW643:EW677" si="9">FY726*(DO726/$DO$761)</f>
        <v>#VALUE!</v>
      </c>
      <c r="EX643" s="1309"/>
      <c r="EY643" s="1309"/>
      <c r="EZ643" s="1309"/>
      <c r="FA643" s="1309"/>
    </row>
    <row r="644" spans="1:157" ht="12.95" customHeight="1">
      <c r="B644" s="52" t="s">
        <v>645</v>
      </c>
      <c r="C644" s="1528"/>
      <c r="D644" s="1528"/>
      <c r="E644" s="1528"/>
      <c r="F644" s="1528"/>
      <c r="G644" s="1528"/>
      <c r="H644" s="1528"/>
      <c r="I644" s="1528"/>
      <c r="J644" s="1528"/>
      <c r="K644" s="1528"/>
      <c r="L644" s="1528"/>
      <c r="M644" s="1542" t="s">
        <v>1182</v>
      </c>
      <c r="N644" s="1542"/>
      <c r="O644" s="1542"/>
      <c r="P644" s="1542"/>
      <c r="Q644" s="1401"/>
      <c r="R644" s="1402"/>
      <c r="S644" s="1403"/>
      <c r="T644" s="1401"/>
      <c r="U644" s="1402"/>
      <c r="V644" s="1403"/>
      <c r="W644" s="1381"/>
      <c r="X644" s="1382"/>
      <c r="Y644" s="1383"/>
      <c r="Z644" s="1371" t="s">
        <v>1182</v>
      </c>
      <c r="AA644" s="1372"/>
      <c r="AB644" s="1373"/>
      <c r="AC644" s="1328"/>
      <c r="AD644" s="1329"/>
      <c r="AE644" s="1330"/>
      <c r="AF644" s="1404"/>
      <c r="AG644" s="1405"/>
      <c r="AH644" s="1405"/>
      <c r="AI644" s="1405"/>
      <c r="AJ644" s="1406"/>
      <c r="AK644" s="1386"/>
      <c r="AL644" s="1387"/>
      <c r="AM644" s="1387"/>
      <c r="AN644" s="1388"/>
      <c r="AO644" s="1368"/>
      <c r="AP644" s="1369"/>
      <c r="AQ644" s="1369"/>
      <c r="AR644" s="1369"/>
      <c r="AS644" s="137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09" t="e">
        <f t="shared" si="4"/>
        <v>#VALUE!</v>
      </c>
      <c r="DY644" s="1309"/>
      <c r="DZ644" s="1309"/>
      <c r="EA644" s="1309"/>
      <c r="EB644" s="1309"/>
      <c r="EC644" s="1309">
        <f t="shared" si="5"/>
        <v>154.22950819672133</v>
      </c>
      <c r="ED644" s="1309"/>
      <c r="EE644" s="1309"/>
      <c r="EF644" s="1309"/>
      <c r="EG644" s="1309"/>
      <c r="EH644" s="1309" t="e">
        <f t="shared" si="6"/>
        <v>#VALUE!</v>
      </c>
      <c r="EI644" s="1309"/>
      <c r="EJ644" s="1309"/>
      <c r="EK644" s="1309"/>
      <c r="EL644" s="1309"/>
      <c r="EM644" s="1309" t="e">
        <f t="shared" si="7"/>
        <v>#VALUE!</v>
      </c>
      <c r="EN644" s="1309"/>
      <c r="EO644" s="1309"/>
      <c r="EP644" s="1309"/>
      <c r="EQ644" s="1309"/>
      <c r="ER644" s="1309" t="e">
        <f t="shared" si="8"/>
        <v>#VALUE!</v>
      </c>
      <c r="ES644" s="1309"/>
      <c r="ET644" s="1309"/>
      <c r="EU644" s="1309"/>
      <c r="EV644" s="1309"/>
      <c r="EW644" s="1309" t="e">
        <f t="shared" si="9"/>
        <v>#VALUE!</v>
      </c>
      <c r="EX644" s="1309"/>
      <c r="EY644" s="1309"/>
      <c r="EZ644" s="1309"/>
      <c r="FA644" s="1309"/>
    </row>
    <row r="645" spans="1:157" ht="12.95" customHeight="1">
      <c r="B645" s="52" t="s">
        <v>362</v>
      </c>
      <c r="C645" s="1528"/>
      <c r="D645" s="1528"/>
      <c r="E645" s="1528"/>
      <c r="F645" s="1528"/>
      <c r="G645" s="1528"/>
      <c r="H645" s="1528"/>
      <c r="I645" s="1528"/>
      <c r="J645" s="1528"/>
      <c r="K645" s="1528"/>
      <c r="L645" s="1528"/>
      <c r="M645" s="1542" t="s">
        <v>1182</v>
      </c>
      <c r="N645" s="1542"/>
      <c r="O645" s="1542"/>
      <c r="P645" s="1542"/>
      <c r="Q645" s="1401"/>
      <c r="R645" s="1402"/>
      <c r="S645" s="1403"/>
      <c r="T645" s="1401"/>
      <c r="U645" s="1402"/>
      <c r="V645" s="1403"/>
      <c r="W645" s="1381"/>
      <c r="X645" s="1382"/>
      <c r="Y645" s="1383"/>
      <c r="Z645" s="1371" t="s">
        <v>1182</v>
      </c>
      <c r="AA645" s="1372"/>
      <c r="AB645" s="1373"/>
      <c r="AC645" s="1328"/>
      <c r="AD645" s="1329"/>
      <c r="AE645" s="1330"/>
      <c r="AF645" s="1404"/>
      <c r="AG645" s="1405"/>
      <c r="AH645" s="1405"/>
      <c r="AI645" s="1405"/>
      <c r="AJ645" s="1406"/>
      <c r="AK645" s="1386"/>
      <c r="AL645" s="1387"/>
      <c r="AM645" s="1387"/>
      <c r="AN645" s="1388"/>
      <c r="AO645" s="1368"/>
      <c r="AP645" s="1369"/>
      <c r="AQ645" s="1369"/>
      <c r="AR645" s="1369"/>
      <c r="AS645" s="1370"/>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309" t="e">
        <f t="shared" si="4"/>
        <v>#VALUE!</v>
      </c>
      <c r="DY645" s="1309"/>
      <c r="DZ645" s="1309"/>
      <c r="EA645" s="1309"/>
      <c r="EB645" s="1309"/>
      <c r="EC645" s="1309">
        <f t="shared" si="5"/>
        <v>1014.1639344262295</v>
      </c>
      <c r="ED645" s="1309"/>
      <c r="EE645" s="1309"/>
      <c r="EF645" s="1309"/>
      <c r="EG645" s="1309"/>
      <c r="EH645" s="1309" t="e">
        <f t="shared" si="6"/>
        <v>#VALUE!</v>
      </c>
      <c r="EI645" s="1309"/>
      <c r="EJ645" s="1309"/>
      <c r="EK645" s="1309"/>
      <c r="EL645" s="1309"/>
      <c r="EM645" s="1309" t="e">
        <f t="shared" si="7"/>
        <v>#VALUE!</v>
      </c>
      <c r="EN645" s="1309"/>
      <c r="EO645" s="1309"/>
      <c r="EP645" s="1309"/>
      <c r="EQ645" s="1309"/>
      <c r="ER645" s="1309" t="e">
        <f t="shared" si="8"/>
        <v>#VALUE!</v>
      </c>
      <c r="ES645" s="1309"/>
      <c r="ET645" s="1309"/>
      <c r="EU645" s="1309"/>
      <c r="EV645" s="1309"/>
      <c r="EW645" s="1309" t="e">
        <f t="shared" si="9"/>
        <v>#VALUE!</v>
      </c>
      <c r="EX645" s="1309"/>
      <c r="EY645" s="1309"/>
      <c r="EZ645" s="1309"/>
      <c r="FA645" s="1309"/>
    </row>
    <row r="646" spans="1:157" ht="12.95" customHeight="1">
      <c r="B646" s="52" t="s">
        <v>363</v>
      </c>
      <c r="C646" s="1528"/>
      <c r="D646" s="1528"/>
      <c r="E646" s="1528"/>
      <c r="F646" s="1528"/>
      <c r="G646" s="1528"/>
      <c r="H646" s="1528"/>
      <c r="I646" s="1528"/>
      <c r="J646" s="1528"/>
      <c r="K646" s="1528"/>
      <c r="L646" s="1528"/>
      <c r="M646" s="1542" t="s">
        <v>1182</v>
      </c>
      <c r="N646" s="1542"/>
      <c r="O646" s="1542"/>
      <c r="P646" s="1542"/>
      <c r="Q646" s="1401"/>
      <c r="R646" s="1402"/>
      <c r="S646" s="1403"/>
      <c r="T646" s="1401"/>
      <c r="U646" s="1402"/>
      <c r="V646" s="1403"/>
      <c r="W646" s="1381"/>
      <c r="X646" s="1382"/>
      <c r="Y646" s="1383"/>
      <c r="Z646" s="1371" t="s">
        <v>1182</v>
      </c>
      <c r="AA646" s="1372"/>
      <c r="AB646" s="1373"/>
      <c r="AC646" s="1328"/>
      <c r="AD646" s="1329"/>
      <c r="AE646" s="1330"/>
      <c r="AF646" s="1404"/>
      <c r="AG646" s="1405"/>
      <c r="AH646" s="1405"/>
      <c r="AI646" s="1405"/>
      <c r="AJ646" s="1406"/>
      <c r="AK646" s="1386"/>
      <c r="AL646" s="1387"/>
      <c r="AM646" s="1387"/>
      <c r="AN646" s="1388"/>
      <c r="AO646" s="1368"/>
      <c r="AP646" s="1369"/>
      <c r="AQ646" s="1369"/>
      <c r="AR646" s="1369"/>
      <c r="AS646" s="137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09" t="e">
        <f t="shared" si="4"/>
        <v>#VALUE!</v>
      </c>
      <c r="DY646" s="1309"/>
      <c r="DZ646" s="1309"/>
      <c r="EA646" s="1309"/>
      <c r="EB646" s="1309"/>
      <c r="EC646" s="1309" t="e">
        <f t="shared" si="5"/>
        <v>#VALUE!</v>
      </c>
      <c r="ED646" s="1309"/>
      <c r="EE646" s="1309"/>
      <c r="EF646" s="1309"/>
      <c r="EG646" s="1309"/>
      <c r="EH646" s="1309">
        <f t="shared" si="6"/>
        <v>166.5625</v>
      </c>
      <c r="EI646" s="1309"/>
      <c r="EJ646" s="1309"/>
      <c r="EK646" s="1309"/>
      <c r="EL646" s="1309"/>
      <c r="EM646" s="1309" t="e">
        <f t="shared" si="7"/>
        <v>#VALUE!</v>
      </c>
      <c r="EN646" s="1309"/>
      <c r="EO646" s="1309"/>
      <c r="EP646" s="1309"/>
      <c r="EQ646" s="1309"/>
      <c r="ER646" s="1309" t="e">
        <f t="shared" si="8"/>
        <v>#VALUE!</v>
      </c>
      <c r="ES646" s="1309"/>
      <c r="ET646" s="1309"/>
      <c r="EU646" s="1309"/>
      <c r="EV646" s="1309"/>
      <c r="EW646" s="1309" t="e">
        <f t="shared" si="9"/>
        <v>#VALUE!</v>
      </c>
      <c r="EX646" s="1309"/>
      <c r="EY646" s="1309"/>
      <c r="EZ646" s="1309"/>
      <c r="FA646" s="1309"/>
    </row>
    <row r="647" spans="1:157" ht="12.95" customHeight="1">
      <c r="B647" s="1520" t="s">
        <v>128</v>
      </c>
      <c r="C647" s="1521"/>
      <c r="D647" s="1521"/>
      <c r="E647" s="1521"/>
      <c r="F647" s="1521"/>
      <c r="G647" s="1521"/>
      <c r="H647" s="1521"/>
      <c r="I647" s="1521"/>
      <c r="J647" s="1521"/>
      <c r="K647" s="1521"/>
      <c r="L647" s="1521"/>
      <c r="M647" s="1521"/>
      <c r="N647" s="1521"/>
      <c r="O647" s="1521"/>
      <c r="P647" s="1521"/>
      <c r="Q647" s="1521"/>
      <c r="R647" s="1521"/>
      <c r="S647" s="1521"/>
      <c r="T647" s="1521"/>
      <c r="U647" s="1521"/>
      <c r="V647" s="1521"/>
      <c r="W647" s="1521"/>
      <c r="X647" s="1521"/>
      <c r="Y647" s="1521"/>
      <c r="Z647" s="1521"/>
      <c r="AA647" s="1521"/>
      <c r="AB647" s="1521"/>
      <c r="AC647" s="1521"/>
      <c r="AD647" s="1521"/>
      <c r="AE647" s="1521"/>
      <c r="AF647" s="1521"/>
      <c r="AG647" s="1521"/>
      <c r="AH647" s="1521"/>
      <c r="AI647" s="1521"/>
      <c r="AJ647" s="1521"/>
      <c r="AK647" s="1521"/>
      <c r="AL647" s="1521"/>
      <c r="AM647" s="1521"/>
      <c r="AN647" s="1523"/>
      <c r="AO647" s="1365">
        <f>SUM(AO635:AR646)</f>
        <v>28579654</v>
      </c>
      <c r="AP647" s="1366"/>
      <c r="AQ647" s="1366"/>
      <c r="AR647" s="1366"/>
      <c r="AS647" s="136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09" t="e">
        <f t="shared" si="4"/>
        <v>#VALUE!</v>
      </c>
      <c r="DY647" s="1309"/>
      <c r="DZ647" s="1309"/>
      <c r="EA647" s="1309"/>
      <c r="EB647" s="1309"/>
      <c r="EC647" s="1309" t="e">
        <f t="shared" si="5"/>
        <v>#VALUE!</v>
      </c>
      <c r="ED647" s="1309"/>
      <c r="EE647" s="1309"/>
      <c r="EF647" s="1309"/>
      <c r="EG647" s="1309"/>
      <c r="EH647" s="1309">
        <f t="shared" si="6"/>
        <v>686.94166666666672</v>
      </c>
      <c r="EI647" s="1309"/>
      <c r="EJ647" s="1309"/>
      <c r="EK647" s="1309"/>
      <c r="EL647" s="1309"/>
      <c r="EM647" s="1309" t="e">
        <f t="shared" si="7"/>
        <v>#VALUE!</v>
      </c>
      <c r="EN647" s="1309"/>
      <c r="EO647" s="1309"/>
      <c r="EP647" s="1309"/>
      <c r="EQ647" s="1309"/>
      <c r="ER647" s="1309" t="e">
        <f t="shared" si="8"/>
        <v>#VALUE!</v>
      </c>
      <c r="ES647" s="1309"/>
      <c r="ET647" s="1309"/>
      <c r="EU647" s="1309"/>
      <c r="EV647" s="1309"/>
      <c r="EW647" s="1309" t="e">
        <f t="shared" si="9"/>
        <v>#VALUE!</v>
      </c>
      <c r="EX647" s="1309"/>
      <c r="EY647" s="1309"/>
      <c r="EZ647" s="1309"/>
      <c r="FA647" s="1309"/>
    </row>
    <row r="648" spans="1:157" ht="12.95" customHeight="1">
      <c r="B648" s="1520" t="s">
        <v>267</v>
      </c>
      <c r="C648" s="1521"/>
      <c r="D648" s="1521"/>
      <c r="E648" s="1521"/>
      <c r="F648" s="1521"/>
      <c r="G648" s="1521"/>
      <c r="H648" s="1521"/>
      <c r="I648" s="1521"/>
      <c r="J648" s="1521"/>
      <c r="K648" s="1521"/>
      <c r="L648" s="1521"/>
      <c r="M648" s="1521"/>
      <c r="N648" s="1521"/>
      <c r="O648" s="1521"/>
      <c r="P648" s="1521"/>
      <c r="Q648" s="1521"/>
      <c r="R648" s="1521"/>
      <c r="S648" s="1521"/>
      <c r="T648" s="1521"/>
      <c r="U648" s="1521"/>
      <c r="V648" s="1521"/>
      <c r="W648" s="1521"/>
      <c r="X648" s="1521"/>
      <c r="Y648" s="1521"/>
      <c r="Z648" s="1521"/>
      <c r="AA648" s="1521"/>
      <c r="AB648" s="1521"/>
      <c r="AC648" s="1521"/>
      <c r="AD648" s="1521"/>
      <c r="AE648" s="1521"/>
      <c r="AF648" s="1521"/>
      <c r="AG648" s="1521"/>
      <c r="AH648" s="1521"/>
      <c r="AI648" s="1521"/>
      <c r="AJ648" s="1521"/>
      <c r="AK648" s="1521"/>
      <c r="AL648" s="1521"/>
      <c r="AM648" s="1521"/>
      <c r="AN648" s="1523"/>
      <c r="AO648" s="1368">
        <v>35509530</v>
      </c>
      <c r="AP648" s="1369"/>
      <c r="AQ648" s="1369"/>
      <c r="AR648" s="1369"/>
      <c r="AS648" s="137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09" t="e">
        <f t="shared" si="4"/>
        <v>#VALUE!</v>
      </c>
      <c r="DY648" s="1309"/>
      <c r="DZ648" s="1309"/>
      <c r="EA648" s="1309"/>
      <c r="EB648" s="1309"/>
      <c r="EC648" s="1309" t="e">
        <f t="shared" si="5"/>
        <v>#VALUE!</v>
      </c>
      <c r="ED648" s="1309"/>
      <c r="EE648" s="1309"/>
      <c r="EF648" s="1309"/>
      <c r="EG648" s="1309"/>
      <c r="EH648" s="1309">
        <f t="shared" si="6"/>
        <v>1235.5416666666665</v>
      </c>
      <c r="EI648" s="1309"/>
      <c r="EJ648" s="1309"/>
      <c r="EK648" s="1309"/>
      <c r="EL648" s="1309"/>
      <c r="EM648" s="1309" t="e">
        <f t="shared" si="7"/>
        <v>#VALUE!</v>
      </c>
      <c r="EN648" s="1309"/>
      <c r="EO648" s="1309"/>
      <c r="EP648" s="1309"/>
      <c r="EQ648" s="1309"/>
      <c r="ER648" s="1309" t="e">
        <f t="shared" si="8"/>
        <v>#VALUE!</v>
      </c>
      <c r="ES648" s="1309"/>
      <c r="ET648" s="1309"/>
      <c r="EU648" s="1309"/>
      <c r="EV648" s="1309"/>
      <c r="EW648" s="1309" t="e">
        <f t="shared" si="9"/>
        <v>#VALUE!</v>
      </c>
      <c r="EX648" s="1309"/>
      <c r="EY648" s="1309"/>
      <c r="EZ648" s="1309"/>
      <c r="FA648" s="1309"/>
    </row>
    <row r="649" spans="1:157" ht="12.95" customHeight="1">
      <c r="B649" s="1602" t="s">
        <v>268</v>
      </c>
      <c r="C649" s="1522"/>
      <c r="D649" s="1522"/>
      <c r="E649" s="1522"/>
      <c r="F649" s="1522"/>
      <c r="G649" s="1522"/>
      <c r="H649" s="1522"/>
      <c r="I649" s="1522"/>
      <c r="J649" s="1522"/>
      <c r="K649" s="1522"/>
      <c r="L649" s="1522"/>
      <c r="M649" s="1522"/>
      <c r="N649" s="1522"/>
      <c r="O649" s="1522"/>
      <c r="P649" s="1522"/>
      <c r="Q649" s="1522"/>
      <c r="R649" s="1522"/>
      <c r="S649" s="1522"/>
      <c r="T649" s="1522"/>
      <c r="U649" s="1522"/>
      <c r="V649" s="1522"/>
      <c r="W649" s="1522"/>
      <c r="X649" s="1522"/>
      <c r="Y649" s="1522"/>
      <c r="Z649" s="1522"/>
      <c r="AA649" s="1522"/>
      <c r="AB649" s="1522"/>
      <c r="AC649" s="1522"/>
      <c r="AD649" s="1522"/>
      <c r="AE649" s="1522"/>
      <c r="AF649" s="1522"/>
      <c r="AG649" s="1522"/>
      <c r="AH649" s="1522"/>
      <c r="AI649" s="1522"/>
      <c r="AJ649" s="1522"/>
      <c r="AK649" s="1522"/>
      <c r="AL649" s="1522"/>
      <c r="AM649" s="1522"/>
      <c r="AN649" s="1603"/>
      <c r="AO649" s="1365">
        <f>AO647+AO648</f>
        <v>64089184</v>
      </c>
      <c r="AP649" s="1366"/>
      <c r="AQ649" s="1366"/>
      <c r="AR649" s="1366"/>
      <c r="AS649" s="136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09" t="e">
        <f t="shared" si="4"/>
        <v>#VALUE!</v>
      </c>
      <c r="DY649" s="1309"/>
      <c r="DZ649" s="1309"/>
      <c r="EA649" s="1309"/>
      <c r="EB649" s="1309"/>
      <c r="EC649" s="1309" t="e">
        <f t="shared" si="5"/>
        <v>#VALUE!</v>
      </c>
      <c r="ED649" s="1309"/>
      <c r="EE649" s="1309"/>
      <c r="EF649" s="1309"/>
      <c r="EG649" s="1309"/>
      <c r="EH649" s="1309" t="e">
        <f t="shared" si="6"/>
        <v>#VALUE!</v>
      </c>
      <c r="EI649" s="1309"/>
      <c r="EJ649" s="1309"/>
      <c r="EK649" s="1309"/>
      <c r="EL649" s="1309"/>
      <c r="EM649" s="1309">
        <f t="shared" si="7"/>
        <v>208.86363636363635</v>
      </c>
      <c r="EN649" s="1309"/>
      <c r="EO649" s="1309"/>
      <c r="EP649" s="1309"/>
      <c r="EQ649" s="1309"/>
      <c r="ER649" s="1309" t="e">
        <f t="shared" si="8"/>
        <v>#VALUE!</v>
      </c>
      <c r="ES649" s="1309"/>
      <c r="ET649" s="1309"/>
      <c r="EU649" s="1309"/>
      <c r="EV649" s="1309"/>
      <c r="EW649" s="1309" t="e">
        <f t="shared" si="9"/>
        <v>#VALUE!</v>
      </c>
      <c r="EX649" s="1309"/>
      <c r="EY649" s="1309"/>
      <c r="EZ649" s="1309"/>
      <c r="FA649" s="130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09" t="e">
        <f t="shared" si="4"/>
        <v>#VALUE!</v>
      </c>
      <c r="DY650" s="1309"/>
      <c r="DZ650" s="1309"/>
      <c r="EA650" s="1309"/>
      <c r="EB650" s="1309"/>
      <c r="EC650" s="1309" t="e">
        <f t="shared" si="5"/>
        <v>#VALUE!</v>
      </c>
      <c r="ED650" s="1309"/>
      <c r="EE650" s="1309"/>
      <c r="EF650" s="1309"/>
      <c r="EG650" s="1309"/>
      <c r="EH650" s="1309" t="e">
        <f t="shared" si="6"/>
        <v>#VALUE!</v>
      </c>
      <c r="EI650" s="1309"/>
      <c r="EJ650" s="1309"/>
      <c r="EK650" s="1309"/>
      <c r="EL650" s="1309"/>
      <c r="EM650" s="1309">
        <f t="shared" si="7"/>
        <v>2327.2363636363634</v>
      </c>
      <c r="EN650" s="1309"/>
      <c r="EO650" s="1309"/>
      <c r="EP650" s="1309"/>
      <c r="EQ650" s="1309"/>
      <c r="ER650" s="1309" t="e">
        <f t="shared" si="8"/>
        <v>#VALUE!</v>
      </c>
      <c r="ES650" s="1309"/>
      <c r="ET650" s="1309"/>
      <c r="EU650" s="1309"/>
      <c r="EV650" s="1309"/>
      <c r="EW650" s="1309" t="e">
        <f t="shared" si="9"/>
        <v>#VALUE!</v>
      </c>
      <c r="EX650" s="1309"/>
      <c r="EY650" s="1309"/>
      <c r="EZ650" s="1309"/>
      <c r="FA650" s="1309"/>
    </row>
    <row r="651" spans="1:157" ht="12.95" customHeight="1">
      <c r="A651" s="55" t="s">
        <v>112</v>
      </c>
      <c r="B651" t="s">
        <v>462</v>
      </c>
      <c r="G651" s="1389" t="str">
        <f>C635</f>
        <v>Citibank - Tax Exempt</v>
      </c>
      <c r="H651" s="1389"/>
      <c r="I651" s="1389"/>
      <c r="J651" s="1389"/>
      <c r="K651" s="1389"/>
      <c r="L651" s="1389"/>
      <c r="M651" s="1389"/>
      <c r="N651" s="1389"/>
      <c r="O651" s="1389"/>
      <c r="P651" s="1389"/>
      <c r="Q651" s="1389"/>
      <c r="R651" s="1389"/>
      <c r="S651" s="8"/>
      <c r="T651" s="55" t="s">
        <v>113</v>
      </c>
      <c r="U651" t="s">
        <v>462</v>
      </c>
      <c r="Z651" s="1389" t="str">
        <f>C636</f>
        <v>Citibank - Taxable</v>
      </c>
      <c r="AA651" s="1389"/>
      <c r="AB651" s="1389"/>
      <c r="AC651" s="1389"/>
      <c r="AD651" s="1389"/>
      <c r="AE651" s="1389"/>
      <c r="AF651" s="1389"/>
      <c r="AG651" s="1389"/>
      <c r="AH651" s="1389"/>
      <c r="AI651" s="1389"/>
      <c r="AJ651" s="1389"/>
      <c r="AK651" s="138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09" t="e">
        <f t="shared" si="4"/>
        <v>#VALUE!</v>
      </c>
      <c r="DY651" s="1309"/>
      <c r="DZ651" s="1309"/>
      <c r="EA651" s="1309"/>
      <c r="EB651" s="1309"/>
      <c r="EC651" s="1309" t="e">
        <f t="shared" si="5"/>
        <v>#VALUE!</v>
      </c>
      <c r="ED651" s="1309"/>
      <c r="EE651" s="1309"/>
      <c r="EF651" s="1309"/>
      <c r="EG651" s="1309"/>
      <c r="EH651" s="1309" t="e">
        <f t="shared" si="6"/>
        <v>#VALUE!</v>
      </c>
      <c r="EI651" s="1309"/>
      <c r="EJ651" s="1309"/>
      <c r="EK651" s="1309"/>
      <c r="EL651" s="1309"/>
      <c r="EM651" s="1309" t="e">
        <f t="shared" si="7"/>
        <v>#VALUE!</v>
      </c>
      <c r="EN651" s="1309"/>
      <c r="EO651" s="1309"/>
      <c r="EP651" s="1309"/>
      <c r="EQ651" s="1309"/>
      <c r="ER651" s="1309" t="e">
        <f t="shared" si="8"/>
        <v>#VALUE!</v>
      </c>
      <c r="ES651" s="1309"/>
      <c r="ET651" s="1309"/>
      <c r="EU651" s="1309"/>
      <c r="EV651" s="1309"/>
      <c r="EW651" s="1309" t="e">
        <f t="shared" si="9"/>
        <v>#VALUE!</v>
      </c>
      <c r="EX651" s="1309"/>
      <c r="EY651" s="1309"/>
      <c r="EZ651" s="1309"/>
      <c r="FA651" s="1309"/>
    </row>
    <row r="652" spans="1:157" ht="12.95" customHeight="1">
      <c r="A652" s="22"/>
      <c r="B652" t="s">
        <v>85</v>
      </c>
      <c r="G652" s="1380" t="s">
        <v>2742</v>
      </c>
      <c r="H652" s="1380"/>
      <c r="I652" s="1380"/>
      <c r="J652" s="1380"/>
      <c r="K652" s="1380"/>
      <c r="L652" s="1380"/>
      <c r="M652" s="1380"/>
      <c r="N652" s="1380"/>
      <c r="O652" s="1380"/>
      <c r="P652" s="1380"/>
      <c r="Q652" s="1380"/>
      <c r="R652" s="1380"/>
      <c r="S652" s="8"/>
      <c r="T652" s="22"/>
      <c r="U652" t="s">
        <v>85</v>
      </c>
      <c r="Z652" s="1380" t="s">
        <v>2742</v>
      </c>
      <c r="AA652" s="1380"/>
      <c r="AB652" s="1380"/>
      <c r="AC652" s="1380"/>
      <c r="AD652" s="1380"/>
      <c r="AE652" s="1380"/>
      <c r="AF652" s="1380"/>
      <c r="AG652" s="1380"/>
      <c r="AH652" s="1380"/>
      <c r="AI652" s="1380"/>
      <c r="AJ652" s="1380"/>
      <c r="AK652" s="1380"/>
      <c r="AV652" s="3"/>
      <c r="AW652" s="3"/>
      <c r="AX652" s="3"/>
      <c r="AY652" s="3"/>
      <c r="AZ652" s="3"/>
      <c r="BA652" s="3"/>
      <c r="BB652" s="3"/>
      <c r="BC652" s="3"/>
      <c r="BD652" s="3"/>
      <c r="BE652" s="3"/>
      <c r="BF652" s="3"/>
      <c r="BG652" s="3"/>
      <c r="BH652" s="3"/>
      <c r="BI652" s="3"/>
      <c r="BJ652" s="3"/>
      <c r="BK652" s="3"/>
      <c r="BL652" s="3"/>
      <c r="BM652" s="3"/>
      <c r="DX652" s="1309" t="e">
        <f t="shared" si="4"/>
        <v>#VALUE!</v>
      </c>
      <c r="DY652" s="1309"/>
      <c r="DZ652" s="1309"/>
      <c r="EA652" s="1309"/>
      <c r="EB652" s="1309"/>
      <c r="EC652" s="1309" t="e">
        <f t="shared" si="5"/>
        <v>#VALUE!</v>
      </c>
      <c r="ED652" s="1309"/>
      <c r="EE652" s="1309"/>
      <c r="EF652" s="1309"/>
      <c r="EG652" s="1309"/>
      <c r="EH652" s="1309" t="e">
        <f t="shared" si="6"/>
        <v>#VALUE!</v>
      </c>
      <c r="EI652" s="1309"/>
      <c r="EJ652" s="1309"/>
      <c r="EK652" s="1309"/>
      <c r="EL652" s="1309"/>
      <c r="EM652" s="1309" t="e">
        <f t="shared" si="7"/>
        <v>#VALUE!</v>
      </c>
      <c r="EN652" s="1309"/>
      <c r="EO652" s="1309"/>
      <c r="EP652" s="1309"/>
      <c r="EQ652" s="1309"/>
      <c r="ER652" s="1309" t="e">
        <f t="shared" si="8"/>
        <v>#VALUE!</v>
      </c>
      <c r="ES652" s="1309"/>
      <c r="ET652" s="1309"/>
      <c r="EU652" s="1309"/>
      <c r="EV652" s="1309"/>
      <c r="EW652" s="1309" t="e">
        <f t="shared" si="9"/>
        <v>#VALUE!</v>
      </c>
      <c r="EX652" s="1309"/>
      <c r="EY652" s="1309"/>
      <c r="EZ652" s="1309"/>
      <c r="FA652" s="1309"/>
    </row>
    <row r="653" spans="1:157" ht="12.95" customHeight="1">
      <c r="A653" s="22"/>
      <c r="B653" t="s">
        <v>579</v>
      </c>
      <c r="G653" s="1380" t="s">
        <v>2684</v>
      </c>
      <c r="H653" s="1380"/>
      <c r="I653" s="1380"/>
      <c r="J653" s="1380"/>
      <c r="K653" s="1380"/>
      <c r="L653" s="1380"/>
      <c r="M653" s="1380"/>
      <c r="N653" s="1380"/>
      <c r="O653" s="1380"/>
      <c r="P653" s="1380"/>
      <c r="Q653" s="1380"/>
      <c r="R653" s="1380"/>
      <c r="T653" s="22"/>
      <c r="U653" t="s">
        <v>579</v>
      </c>
      <c r="Z653" s="1322" t="s">
        <v>2684</v>
      </c>
      <c r="AA653" s="1322"/>
      <c r="AB653" s="1322"/>
      <c r="AC653" s="1322"/>
      <c r="AD653" s="1322"/>
      <c r="AE653" s="1322"/>
      <c r="AF653" s="1322"/>
      <c r="AG653" s="1322"/>
      <c r="AH653" s="1322"/>
      <c r="AI653" s="1322"/>
      <c r="AJ653" s="1322"/>
      <c r="AK653" s="1322"/>
      <c r="AV653" s="3"/>
      <c r="AW653" s="3"/>
      <c r="AX653" s="3"/>
      <c r="AY653" s="3"/>
      <c r="AZ653" s="3"/>
      <c r="BA653" s="3"/>
      <c r="BB653" s="3"/>
      <c r="BC653" s="3"/>
      <c r="BD653" s="3"/>
      <c r="BE653" s="3"/>
      <c r="BF653" s="3"/>
      <c r="BG653" s="3"/>
      <c r="BH653" s="3"/>
      <c r="BI653" s="3"/>
      <c r="BJ653" s="3"/>
      <c r="BK653" s="3"/>
      <c r="BL653" s="3"/>
      <c r="BM653" s="3"/>
      <c r="DX653" s="1309" t="e">
        <f t="shared" si="4"/>
        <v>#VALUE!</v>
      </c>
      <c r="DY653" s="1309"/>
      <c r="DZ653" s="1309"/>
      <c r="EA653" s="1309"/>
      <c r="EB653" s="1309"/>
      <c r="EC653" s="1309" t="e">
        <f t="shared" si="5"/>
        <v>#VALUE!</v>
      </c>
      <c r="ED653" s="1309"/>
      <c r="EE653" s="1309"/>
      <c r="EF653" s="1309"/>
      <c r="EG653" s="1309"/>
      <c r="EH653" s="1309" t="e">
        <f t="shared" si="6"/>
        <v>#VALUE!</v>
      </c>
      <c r="EI653" s="1309"/>
      <c r="EJ653" s="1309"/>
      <c r="EK653" s="1309"/>
      <c r="EL653" s="1309"/>
      <c r="EM653" s="1309" t="e">
        <f t="shared" si="7"/>
        <v>#VALUE!</v>
      </c>
      <c r="EN653" s="1309"/>
      <c r="EO653" s="1309"/>
      <c r="EP653" s="1309"/>
      <c r="EQ653" s="1309"/>
      <c r="ER653" s="1309" t="e">
        <f t="shared" si="8"/>
        <v>#VALUE!</v>
      </c>
      <c r="ES653" s="1309"/>
      <c r="ET653" s="1309"/>
      <c r="EU653" s="1309"/>
      <c r="EV653" s="1309"/>
      <c r="EW653" s="1309" t="e">
        <f t="shared" si="9"/>
        <v>#VALUE!</v>
      </c>
      <c r="EX653" s="1309"/>
      <c r="EY653" s="1309"/>
      <c r="EZ653" s="1309"/>
      <c r="FA653" s="1309"/>
    </row>
    <row r="654" spans="1:157" ht="12.95" customHeight="1">
      <c r="A654" s="22"/>
      <c r="B654" t="s">
        <v>17</v>
      </c>
      <c r="G654" s="1380" t="s">
        <v>2743</v>
      </c>
      <c r="H654" s="1380"/>
      <c r="I654" s="1380"/>
      <c r="J654" s="1380"/>
      <c r="K654" s="1380"/>
      <c r="L654" s="1380"/>
      <c r="M654" s="1380"/>
      <c r="N654" s="1380"/>
      <c r="O654" s="1380"/>
      <c r="P654" s="1380"/>
      <c r="Q654" s="1380"/>
      <c r="R654" s="1380"/>
      <c r="S654" s="8"/>
      <c r="T654" s="22"/>
      <c r="U654" t="s">
        <v>17</v>
      </c>
      <c r="Z654" s="1322" t="s">
        <v>2743</v>
      </c>
      <c r="AA654" s="1322"/>
      <c r="AB654" s="1322"/>
      <c r="AC654" s="1322"/>
      <c r="AD654" s="1322"/>
      <c r="AE654" s="1322"/>
      <c r="AF654" s="1322"/>
      <c r="AG654" s="1322"/>
      <c r="AH654" s="1322"/>
      <c r="AI654" s="1322"/>
      <c r="AJ654" s="1322"/>
      <c r="AK654" s="1322"/>
      <c r="AZ654" s="3"/>
      <c r="BA654" s="3"/>
      <c r="BB654" s="3"/>
      <c r="BC654" s="3"/>
      <c r="BD654" s="3"/>
      <c r="BE654" s="3"/>
      <c r="BF654" s="3"/>
      <c r="BG654" s="3"/>
      <c r="BH654" s="3"/>
      <c r="BI654" s="3"/>
      <c r="BJ654" s="3"/>
      <c r="BK654" s="3"/>
      <c r="BL654" s="3"/>
      <c r="BM654" s="3"/>
      <c r="DX654" s="1309" t="e">
        <f t="shared" si="4"/>
        <v>#VALUE!</v>
      </c>
      <c r="DY654" s="1309"/>
      <c r="DZ654" s="1309"/>
      <c r="EA654" s="1309"/>
      <c r="EB654" s="1309"/>
      <c r="EC654" s="1309" t="e">
        <f t="shared" si="5"/>
        <v>#VALUE!</v>
      </c>
      <c r="ED654" s="1309"/>
      <c r="EE654" s="1309"/>
      <c r="EF654" s="1309"/>
      <c r="EG654" s="1309"/>
      <c r="EH654" s="1309" t="e">
        <f t="shared" si="6"/>
        <v>#VALUE!</v>
      </c>
      <c r="EI654" s="1309"/>
      <c r="EJ654" s="1309"/>
      <c r="EK654" s="1309"/>
      <c r="EL654" s="1309"/>
      <c r="EM654" s="1309" t="e">
        <f t="shared" si="7"/>
        <v>#VALUE!</v>
      </c>
      <c r="EN654" s="1309"/>
      <c r="EO654" s="1309"/>
      <c r="EP654" s="1309"/>
      <c r="EQ654" s="1309"/>
      <c r="ER654" s="1309" t="e">
        <f t="shared" si="8"/>
        <v>#VALUE!</v>
      </c>
      <c r="ES654" s="1309"/>
      <c r="ET654" s="1309"/>
      <c r="EU654" s="1309"/>
      <c r="EV654" s="1309"/>
      <c r="EW654" s="1309" t="e">
        <f t="shared" si="9"/>
        <v>#VALUE!</v>
      </c>
      <c r="EX654" s="1309"/>
      <c r="EY654" s="1309"/>
      <c r="EZ654" s="1309"/>
      <c r="FA654" s="1309"/>
    </row>
    <row r="655" spans="1:157" ht="12.95" customHeight="1">
      <c r="A655" s="22"/>
      <c r="B655" t="s">
        <v>316</v>
      </c>
      <c r="G655" s="1430" t="s">
        <v>2744</v>
      </c>
      <c r="H655" s="1430"/>
      <c r="I655" s="1430"/>
      <c r="J655" s="1430"/>
      <c r="K655" s="1430"/>
      <c r="L655" s="1430"/>
      <c r="O655" s="33" t="s">
        <v>206</v>
      </c>
      <c r="P655" s="1361"/>
      <c r="Q655" s="1361"/>
      <c r="R655" s="1361"/>
      <c r="S655" s="10"/>
      <c r="T655" s="22"/>
      <c r="U655" t="s">
        <v>316</v>
      </c>
      <c r="Z655" s="1430" t="s">
        <v>2744</v>
      </c>
      <c r="AA655" s="1430"/>
      <c r="AB655" s="1430"/>
      <c r="AC655" s="1430"/>
      <c r="AD655" s="1430"/>
      <c r="AE655" s="1430"/>
      <c r="AH655" s="33" t="s">
        <v>206</v>
      </c>
      <c r="AI655" s="1361"/>
      <c r="AJ655" s="1361"/>
      <c r="AK655" s="1361"/>
      <c r="AZ655" s="34"/>
      <c r="BA655" s="34"/>
      <c r="BB655" s="34"/>
      <c r="BC655" s="34"/>
      <c r="BD655" s="34"/>
      <c r="BE655" s="34"/>
      <c r="BF655" s="34"/>
      <c r="BG655" s="34"/>
      <c r="BH655" s="34"/>
      <c r="BI655" s="34"/>
      <c r="BJ655" s="34"/>
      <c r="BK655" s="34"/>
      <c r="BL655" s="34"/>
      <c r="BM655" s="34"/>
      <c r="DX655" s="1309" t="e">
        <f t="shared" si="4"/>
        <v>#VALUE!</v>
      </c>
      <c r="DY655" s="1309"/>
      <c r="DZ655" s="1309"/>
      <c r="EA655" s="1309"/>
      <c r="EB655" s="1309"/>
      <c r="EC655" s="1309" t="e">
        <f t="shared" si="5"/>
        <v>#VALUE!</v>
      </c>
      <c r="ED655" s="1309"/>
      <c r="EE655" s="1309"/>
      <c r="EF655" s="1309"/>
      <c r="EG655" s="1309"/>
      <c r="EH655" s="1309" t="e">
        <f t="shared" si="6"/>
        <v>#VALUE!</v>
      </c>
      <c r="EI655" s="1309"/>
      <c r="EJ655" s="1309"/>
      <c r="EK655" s="1309"/>
      <c r="EL655" s="1309"/>
      <c r="EM655" s="1309" t="e">
        <f t="shared" si="7"/>
        <v>#VALUE!</v>
      </c>
      <c r="EN655" s="1309"/>
      <c r="EO655" s="1309"/>
      <c r="EP655" s="1309"/>
      <c r="EQ655" s="1309"/>
      <c r="ER655" s="1309" t="e">
        <f t="shared" si="8"/>
        <v>#VALUE!</v>
      </c>
      <c r="ES655" s="1309"/>
      <c r="ET655" s="1309"/>
      <c r="EU655" s="1309"/>
      <c r="EV655" s="1309"/>
      <c r="EW655" s="1309" t="e">
        <f t="shared" si="9"/>
        <v>#VALUE!</v>
      </c>
      <c r="EX655" s="1309"/>
      <c r="EY655" s="1309"/>
      <c r="EZ655" s="1309"/>
      <c r="FA655" s="1309"/>
    </row>
    <row r="656" spans="1:157" ht="12.95" customHeight="1">
      <c r="A656" s="22"/>
      <c r="B656" t="s">
        <v>18</v>
      </c>
      <c r="H656" s="1434" t="s">
        <v>2766</v>
      </c>
      <c r="I656" s="1380"/>
      <c r="J656" s="1380"/>
      <c r="K656" s="1380"/>
      <c r="L656" s="1380"/>
      <c r="M656" s="1380"/>
      <c r="N656" s="1380"/>
      <c r="O656" s="1380"/>
      <c r="P656" s="1380"/>
      <c r="Q656" s="1380"/>
      <c r="R656" s="1380"/>
      <c r="S656" s="8"/>
      <c r="T656" s="22"/>
      <c r="U656" t="s">
        <v>18</v>
      </c>
      <c r="AA656" s="1434" t="s">
        <v>2767</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DX656" s="1309" t="e">
        <f t="shared" si="4"/>
        <v>#VALUE!</v>
      </c>
      <c r="DY656" s="1309"/>
      <c r="DZ656" s="1309"/>
      <c r="EA656" s="1309"/>
      <c r="EB656" s="1309"/>
      <c r="EC656" s="1309" t="e">
        <f t="shared" si="5"/>
        <v>#VALUE!</v>
      </c>
      <c r="ED656" s="1309"/>
      <c r="EE656" s="1309"/>
      <c r="EF656" s="1309"/>
      <c r="EG656" s="1309"/>
      <c r="EH656" s="1309" t="e">
        <f t="shared" si="6"/>
        <v>#VALUE!</v>
      </c>
      <c r="EI656" s="1309"/>
      <c r="EJ656" s="1309"/>
      <c r="EK656" s="1309"/>
      <c r="EL656" s="1309"/>
      <c r="EM656" s="1309" t="e">
        <f t="shared" si="7"/>
        <v>#VALUE!</v>
      </c>
      <c r="EN656" s="1309"/>
      <c r="EO656" s="1309"/>
      <c r="EP656" s="1309"/>
      <c r="EQ656" s="1309"/>
      <c r="ER656" s="1309" t="e">
        <f t="shared" si="8"/>
        <v>#VALUE!</v>
      </c>
      <c r="ES656" s="1309"/>
      <c r="ET656" s="1309"/>
      <c r="EU656" s="1309"/>
      <c r="EV656" s="1309"/>
      <c r="EW656" s="1309" t="e">
        <f t="shared" si="9"/>
        <v>#VALUE!</v>
      </c>
      <c r="EX656" s="1309"/>
      <c r="EY656" s="1309"/>
      <c r="EZ656" s="1309"/>
      <c r="FA656" s="1309"/>
    </row>
    <row r="657" spans="1:157" ht="12.95" customHeight="1">
      <c r="A657" s="22"/>
      <c r="B657" t="s">
        <v>20</v>
      </c>
      <c r="N657" s="1399" t="s">
        <v>544</v>
      </c>
      <c r="O657" s="1399"/>
      <c r="T657" s="22"/>
      <c r="U657" t="s">
        <v>20</v>
      </c>
      <c r="AG657" s="1399" t="s">
        <v>544</v>
      </c>
      <c r="AH657" s="1399"/>
      <c r="AZ657" s="34"/>
      <c r="BA657" s="34"/>
      <c r="BB657" s="34"/>
      <c r="BC657" s="34"/>
      <c r="BD657" s="34"/>
      <c r="BE657" s="34"/>
      <c r="BF657" s="34"/>
      <c r="BG657" s="34"/>
      <c r="BH657" s="34"/>
      <c r="BI657" s="34"/>
      <c r="BJ657" s="34"/>
      <c r="BK657" s="34"/>
      <c r="BL657" s="34"/>
      <c r="BM657" s="34"/>
      <c r="DX657" s="1309" t="e">
        <f t="shared" si="4"/>
        <v>#VALUE!</v>
      </c>
      <c r="DY657" s="1309"/>
      <c r="DZ657" s="1309"/>
      <c r="EA657" s="1309"/>
      <c r="EB657" s="1309"/>
      <c r="EC657" s="1309" t="e">
        <f t="shared" si="5"/>
        <v>#VALUE!</v>
      </c>
      <c r="ED657" s="1309"/>
      <c r="EE657" s="1309"/>
      <c r="EF657" s="1309"/>
      <c r="EG657" s="1309"/>
      <c r="EH657" s="1309" t="e">
        <f t="shared" si="6"/>
        <v>#VALUE!</v>
      </c>
      <c r="EI657" s="1309"/>
      <c r="EJ657" s="1309"/>
      <c r="EK657" s="1309"/>
      <c r="EL657" s="1309"/>
      <c r="EM657" s="1309" t="e">
        <f t="shared" si="7"/>
        <v>#VALUE!</v>
      </c>
      <c r="EN657" s="1309"/>
      <c r="EO657" s="1309"/>
      <c r="EP657" s="1309"/>
      <c r="EQ657" s="1309"/>
      <c r="ER657" s="1309" t="e">
        <f t="shared" si="8"/>
        <v>#VALUE!</v>
      </c>
      <c r="ES657" s="1309"/>
      <c r="ET657" s="1309"/>
      <c r="EU657" s="1309"/>
      <c r="EV657" s="1309"/>
      <c r="EW657" s="1309" t="e">
        <f t="shared" si="9"/>
        <v>#VALUE!</v>
      </c>
      <c r="EX657" s="1309"/>
      <c r="EY657" s="1309"/>
      <c r="EZ657" s="1309"/>
      <c r="FA657" s="1309"/>
    </row>
    <row r="658" spans="1:157" ht="12.95" customHeight="1">
      <c r="A658" s="22"/>
      <c r="T658" s="22"/>
      <c r="AZ658" s="34"/>
      <c r="BA658" s="34"/>
      <c r="BB658" s="34"/>
      <c r="BC658" s="34"/>
      <c r="BD658" s="34"/>
      <c r="BE658" s="34"/>
      <c r="BF658" s="34"/>
      <c r="BG658" s="34"/>
      <c r="BH658" s="34"/>
      <c r="BI658" s="34"/>
      <c r="BJ658" s="34"/>
      <c r="BK658" s="34"/>
      <c r="BL658" s="34"/>
      <c r="BM658" s="34"/>
      <c r="DX658" s="1309" t="e">
        <f t="shared" si="4"/>
        <v>#VALUE!</v>
      </c>
      <c r="DY658" s="1309"/>
      <c r="DZ658" s="1309"/>
      <c r="EA658" s="1309"/>
      <c r="EB658" s="1309"/>
      <c r="EC658" s="1309" t="e">
        <f t="shared" si="5"/>
        <v>#VALUE!</v>
      </c>
      <c r="ED658" s="1309"/>
      <c r="EE658" s="1309"/>
      <c r="EF658" s="1309"/>
      <c r="EG658" s="1309"/>
      <c r="EH658" s="1309" t="e">
        <f t="shared" si="6"/>
        <v>#VALUE!</v>
      </c>
      <c r="EI658" s="1309"/>
      <c r="EJ658" s="1309"/>
      <c r="EK658" s="1309"/>
      <c r="EL658" s="1309"/>
      <c r="EM658" s="1309" t="e">
        <f t="shared" si="7"/>
        <v>#VALUE!</v>
      </c>
      <c r="EN658" s="1309"/>
      <c r="EO658" s="1309"/>
      <c r="EP658" s="1309"/>
      <c r="EQ658" s="1309"/>
      <c r="ER658" s="1309" t="e">
        <f t="shared" si="8"/>
        <v>#VALUE!</v>
      </c>
      <c r="ES658" s="1309"/>
      <c r="ET658" s="1309"/>
      <c r="EU658" s="1309"/>
      <c r="EV658" s="1309"/>
      <c r="EW658" s="1309" t="e">
        <f t="shared" si="9"/>
        <v>#VALUE!</v>
      </c>
      <c r="EX658" s="1309"/>
      <c r="EY658" s="1309"/>
      <c r="EZ658" s="1309"/>
      <c r="FA658" s="1309"/>
    </row>
    <row r="659" spans="1:157" ht="12.95" customHeight="1">
      <c r="A659" s="55" t="s">
        <v>119</v>
      </c>
      <c r="B659" t="s">
        <v>462</v>
      </c>
      <c r="G659" s="1389" t="str">
        <f>C637</f>
        <v>Safehold - Tenant Improvement Allowance</v>
      </c>
      <c r="H659" s="1389"/>
      <c r="I659" s="1389"/>
      <c r="J659" s="1389"/>
      <c r="K659" s="1389"/>
      <c r="L659" s="1389"/>
      <c r="M659" s="1389"/>
      <c r="N659" s="1389"/>
      <c r="O659" s="1389"/>
      <c r="P659" s="1389"/>
      <c r="Q659" s="1389"/>
      <c r="R659" s="1389"/>
      <c r="T659" s="55" t="s">
        <v>580</v>
      </c>
      <c r="U659" t="s">
        <v>462</v>
      </c>
      <c r="Z659" s="1389" t="str">
        <f>C638</f>
        <v>Deferred Dev Fee</v>
      </c>
      <c r="AA659" s="1389"/>
      <c r="AB659" s="1389"/>
      <c r="AC659" s="1389"/>
      <c r="AD659" s="1389"/>
      <c r="AE659" s="1389"/>
      <c r="AF659" s="1389"/>
      <c r="AG659" s="1389"/>
      <c r="AH659" s="1389"/>
      <c r="AI659" s="1389"/>
      <c r="AJ659" s="1389"/>
      <c r="AK659" s="1389"/>
      <c r="AZ659" s="34"/>
      <c r="BA659" s="34"/>
      <c r="BB659" s="34"/>
      <c r="BC659" s="34"/>
      <c r="BD659" s="34"/>
      <c r="BE659" s="34"/>
      <c r="BF659" s="34"/>
      <c r="BG659" s="34"/>
      <c r="BH659" s="34"/>
      <c r="BI659" s="34"/>
      <c r="BJ659" s="34"/>
      <c r="BK659" s="34"/>
      <c r="BL659" s="34"/>
      <c r="BM659" s="34"/>
      <c r="DX659" s="1309" t="e">
        <f t="shared" si="4"/>
        <v>#VALUE!</v>
      </c>
      <c r="DY659" s="1309"/>
      <c r="DZ659" s="1309"/>
      <c r="EA659" s="1309"/>
      <c r="EB659" s="1309"/>
      <c r="EC659" s="1309" t="e">
        <f t="shared" si="5"/>
        <v>#VALUE!</v>
      </c>
      <c r="ED659" s="1309"/>
      <c r="EE659" s="1309"/>
      <c r="EF659" s="1309"/>
      <c r="EG659" s="1309"/>
      <c r="EH659" s="1309" t="e">
        <f t="shared" si="6"/>
        <v>#VALUE!</v>
      </c>
      <c r="EI659" s="1309"/>
      <c r="EJ659" s="1309"/>
      <c r="EK659" s="1309"/>
      <c r="EL659" s="1309"/>
      <c r="EM659" s="1309" t="e">
        <f t="shared" si="7"/>
        <v>#VALUE!</v>
      </c>
      <c r="EN659" s="1309"/>
      <c r="EO659" s="1309"/>
      <c r="EP659" s="1309"/>
      <c r="EQ659" s="1309"/>
      <c r="ER659" s="1309" t="e">
        <f t="shared" si="8"/>
        <v>#VALUE!</v>
      </c>
      <c r="ES659" s="1309"/>
      <c r="ET659" s="1309"/>
      <c r="EU659" s="1309"/>
      <c r="EV659" s="1309"/>
      <c r="EW659" s="1309" t="e">
        <f t="shared" si="9"/>
        <v>#VALUE!</v>
      </c>
      <c r="EX659" s="1309"/>
      <c r="EY659" s="1309"/>
      <c r="EZ659" s="1309"/>
      <c r="FA659" s="1309"/>
    </row>
    <row r="660" spans="1:157" ht="12.95" customHeight="1">
      <c r="A660" s="22"/>
      <c r="B660" t="s">
        <v>85</v>
      </c>
      <c r="G660" s="1380" t="s">
        <v>2749</v>
      </c>
      <c r="H660" s="1380"/>
      <c r="I660" s="1380"/>
      <c r="J660" s="1380"/>
      <c r="K660" s="1380"/>
      <c r="L660" s="1380"/>
      <c r="M660" s="1380"/>
      <c r="N660" s="1380"/>
      <c r="O660" s="1380"/>
      <c r="P660" s="1380"/>
      <c r="Q660" s="1380"/>
      <c r="R660" s="1380"/>
      <c r="T660" s="22"/>
      <c r="U660" t="s">
        <v>85</v>
      </c>
      <c r="Z660" s="1380" t="s">
        <v>2760</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DX660" s="1309" t="e">
        <f t="shared" si="4"/>
        <v>#VALUE!</v>
      </c>
      <c r="DY660" s="1309"/>
      <c r="DZ660" s="1309"/>
      <c r="EA660" s="1309"/>
      <c r="EB660" s="1309"/>
      <c r="EC660" s="1309" t="e">
        <f t="shared" si="5"/>
        <v>#VALUE!</v>
      </c>
      <c r="ED660" s="1309"/>
      <c r="EE660" s="1309"/>
      <c r="EF660" s="1309"/>
      <c r="EG660" s="1309"/>
      <c r="EH660" s="1309" t="e">
        <f t="shared" si="6"/>
        <v>#VALUE!</v>
      </c>
      <c r="EI660" s="1309"/>
      <c r="EJ660" s="1309"/>
      <c r="EK660" s="1309"/>
      <c r="EL660" s="1309"/>
      <c r="EM660" s="1309" t="e">
        <f t="shared" si="7"/>
        <v>#VALUE!</v>
      </c>
      <c r="EN660" s="1309"/>
      <c r="EO660" s="1309"/>
      <c r="EP660" s="1309"/>
      <c r="EQ660" s="1309"/>
      <c r="ER660" s="1309" t="e">
        <f t="shared" si="8"/>
        <v>#VALUE!</v>
      </c>
      <c r="ES660" s="1309"/>
      <c r="ET660" s="1309"/>
      <c r="EU660" s="1309"/>
      <c r="EV660" s="1309"/>
      <c r="EW660" s="1309" t="e">
        <f t="shared" si="9"/>
        <v>#VALUE!</v>
      </c>
      <c r="EX660" s="1309"/>
      <c r="EY660" s="1309"/>
      <c r="EZ660" s="1309"/>
      <c r="FA660" s="1309"/>
    </row>
    <row r="661" spans="1:157" ht="12.95" customHeight="1">
      <c r="A661" s="22"/>
      <c r="B661" t="s">
        <v>579</v>
      </c>
      <c r="G661" s="1322" t="s">
        <v>2750</v>
      </c>
      <c r="H661" s="1322"/>
      <c r="I661" s="1322"/>
      <c r="J661" s="1322"/>
      <c r="K661" s="1322"/>
      <c r="L661" s="1322"/>
      <c r="M661" s="1322"/>
      <c r="N661" s="1322"/>
      <c r="O661" s="1322"/>
      <c r="P661" s="1322"/>
      <c r="Q661" s="1322"/>
      <c r="R661" s="1322"/>
      <c r="T661" s="22"/>
      <c r="U661" t="s">
        <v>579</v>
      </c>
      <c r="Z661" s="1322" t="s">
        <v>493</v>
      </c>
      <c r="AA661" s="1322"/>
      <c r="AB661" s="1322"/>
      <c r="AC661" s="1322"/>
      <c r="AD661" s="1322"/>
      <c r="AE661" s="1322"/>
      <c r="AF661" s="1322"/>
      <c r="AG661" s="1322"/>
      <c r="AH661" s="1322"/>
      <c r="AI661" s="1322"/>
      <c r="AJ661" s="1322"/>
      <c r="AK661" s="1322"/>
      <c r="AZ661" s="34"/>
      <c r="BA661" s="34"/>
      <c r="BB661" s="34"/>
      <c r="BC661" s="34"/>
      <c r="BD661" s="34"/>
      <c r="BE661" s="34"/>
      <c r="BF661" s="34"/>
      <c r="BG661" s="34"/>
      <c r="BH661" s="34"/>
      <c r="BI661" s="34"/>
      <c r="BJ661" s="34"/>
      <c r="BK661" s="34"/>
      <c r="BL661" s="34"/>
      <c r="BM661" s="34"/>
      <c r="DX661" s="1309" t="e">
        <f t="shared" si="4"/>
        <v>#VALUE!</v>
      </c>
      <c r="DY661" s="1309"/>
      <c r="DZ661" s="1309"/>
      <c r="EA661" s="1309"/>
      <c r="EB661" s="1309"/>
      <c r="EC661" s="1309" t="e">
        <f t="shared" si="5"/>
        <v>#VALUE!</v>
      </c>
      <c r="ED661" s="1309"/>
      <c r="EE661" s="1309"/>
      <c r="EF661" s="1309"/>
      <c r="EG661" s="1309"/>
      <c r="EH661" s="1309" t="e">
        <f t="shared" si="6"/>
        <v>#VALUE!</v>
      </c>
      <c r="EI661" s="1309"/>
      <c r="EJ661" s="1309"/>
      <c r="EK661" s="1309"/>
      <c r="EL661" s="1309"/>
      <c r="EM661" s="1309" t="e">
        <f t="shared" si="7"/>
        <v>#VALUE!</v>
      </c>
      <c r="EN661" s="1309"/>
      <c r="EO661" s="1309"/>
      <c r="EP661" s="1309"/>
      <c r="EQ661" s="1309"/>
      <c r="ER661" s="1309" t="e">
        <f t="shared" si="8"/>
        <v>#VALUE!</v>
      </c>
      <c r="ES661" s="1309"/>
      <c r="ET661" s="1309"/>
      <c r="EU661" s="1309"/>
      <c r="EV661" s="1309"/>
      <c r="EW661" s="1309" t="e">
        <f t="shared" si="9"/>
        <v>#VALUE!</v>
      </c>
      <c r="EX661" s="1309"/>
      <c r="EY661" s="1309"/>
      <c r="EZ661" s="1309"/>
      <c r="FA661" s="1309"/>
    </row>
    <row r="662" spans="1:157" ht="12.95" customHeight="1">
      <c r="A662" s="22"/>
      <c r="B662" t="s">
        <v>17</v>
      </c>
      <c r="G662" s="1322" t="s">
        <v>2751</v>
      </c>
      <c r="H662" s="1322"/>
      <c r="I662" s="1322"/>
      <c r="J662" s="1322"/>
      <c r="K662" s="1322"/>
      <c r="L662" s="1322"/>
      <c r="M662" s="1322"/>
      <c r="N662" s="1322"/>
      <c r="O662" s="1322"/>
      <c r="P662" s="1322"/>
      <c r="Q662" s="1322"/>
      <c r="R662" s="1322"/>
      <c r="T662" s="22"/>
      <c r="U662" t="s">
        <v>17</v>
      </c>
      <c r="Z662" s="1322" t="s">
        <v>2761</v>
      </c>
      <c r="AA662" s="1322"/>
      <c r="AB662" s="1322"/>
      <c r="AC662" s="1322"/>
      <c r="AD662" s="1322"/>
      <c r="AE662" s="1322"/>
      <c r="AF662" s="1322"/>
      <c r="AG662" s="1322"/>
      <c r="AH662" s="1322"/>
      <c r="AI662" s="1322"/>
      <c r="AJ662" s="1322"/>
      <c r="AK662" s="1322"/>
      <c r="AZ662" s="34"/>
      <c r="BA662" s="34"/>
      <c r="BB662" s="34"/>
      <c r="BC662" s="34"/>
      <c r="BD662" s="34"/>
      <c r="BE662" s="34"/>
      <c r="BF662" s="34"/>
      <c r="BG662" s="34"/>
      <c r="BH662" s="34"/>
      <c r="BI662" s="34"/>
      <c r="BJ662" s="34"/>
      <c r="BK662" s="34"/>
      <c r="BL662" s="34"/>
      <c r="BM662" s="34"/>
      <c r="DX662" s="1309" t="e">
        <f t="shared" si="4"/>
        <v>#VALUE!</v>
      </c>
      <c r="DY662" s="1309"/>
      <c r="DZ662" s="1309"/>
      <c r="EA662" s="1309"/>
      <c r="EB662" s="1309"/>
      <c r="EC662" s="1309" t="e">
        <f t="shared" si="5"/>
        <v>#VALUE!</v>
      </c>
      <c r="ED662" s="1309"/>
      <c r="EE662" s="1309"/>
      <c r="EF662" s="1309"/>
      <c r="EG662" s="1309"/>
      <c r="EH662" s="1309" t="e">
        <f t="shared" si="6"/>
        <v>#VALUE!</v>
      </c>
      <c r="EI662" s="1309"/>
      <c r="EJ662" s="1309"/>
      <c r="EK662" s="1309"/>
      <c r="EL662" s="1309"/>
      <c r="EM662" s="1309" t="e">
        <f t="shared" si="7"/>
        <v>#VALUE!</v>
      </c>
      <c r="EN662" s="1309"/>
      <c r="EO662" s="1309"/>
      <c r="EP662" s="1309"/>
      <c r="EQ662" s="1309"/>
      <c r="ER662" s="1309" t="e">
        <f t="shared" si="8"/>
        <v>#VALUE!</v>
      </c>
      <c r="ES662" s="1309"/>
      <c r="ET662" s="1309"/>
      <c r="EU662" s="1309"/>
      <c r="EV662" s="1309"/>
      <c r="EW662" s="1309" t="e">
        <f t="shared" si="9"/>
        <v>#VALUE!</v>
      </c>
      <c r="EX662" s="1309"/>
      <c r="EY662" s="1309"/>
      <c r="EZ662" s="1309"/>
      <c r="FA662" s="1309"/>
    </row>
    <row r="663" spans="1:157" ht="12.95" customHeight="1">
      <c r="A663" s="22"/>
      <c r="B663" t="s">
        <v>316</v>
      </c>
      <c r="G663" s="1430" t="s">
        <v>2752</v>
      </c>
      <c r="H663" s="1430"/>
      <c r="I663" s="1430"/>
      <c r="J663" s="1430"/>
      <c r="K663" s="1430"/>
      <c r="L663" s="1430"/>
      <c r="O663" s="33" t="s">
        <v>206</v>
      </c>
      <c r="P663" s="1361"/>
      <c r="Q663" s="1361"/>
      <c r="R663" s="1361"/>
      <c r="T663" s="22"/>
      <c r="U663" t="s">
        <v>316</v>
      </c>
      <c r="Z663" s="1430" t="s">
        <v>2762</v>
      </c>
      <c r="AA663" s="1430"/>
      <c r="AB663" s="1430"/>
      <c r="AC663" s="1430"/>
      <c r="AD663" s="1430"/>
      <c r="AE663" s="1430"/>
      <c r="AH663" s="33" t="s">
        <v>206</v>
      </c>
      <c r="AI663" s="1361">
        <v>106</v>
      </c>
      <c r="AJ663" s="1361"/>
      <c r="AK663" s="1361"/>
      <c r="AZ663" s="34"/>
      <c r="BA663" s="34"/>
      <c r="BB663" s="34"/>
      <c r="BC663" s="34"/>
      <c r="BD663" s="34"/>
      <c r="BE663" s="34"/>
      <c r="BF663" s="34"/>
      <c r="BG663" s="34"/>
      <c r="BH663" s="34"/>
      <c r="BI663" s="34"/>
      <c r="BJ663" s="34"/>
      <c r="BK663" s="34"/>
      <c r="BL663" s="34"/>
      <c r="BM663" s="34"/>
      <c r="DX663" s="1309" t="e">
        <f t="shared" si="4"/>
        <v>#VALUE!</v>
      </c>
      <c r="DY663" s="1309"/>
      <c r="DZ663" s="1309"/>
      <c r="EA663" s="1309"/>
      <c r="EB663" s="1309"/>
      <c r="EC663" s="1309" t="e">
        <f t="shared" si="5"/>
        <v>#VALUE!</v>
      </c>
      <c r="ED663" s="1309"/>
      <c r="EE663" s="1309"/>
      <c r="EF663" s="1309"/>
      <c r="EG663" s="1309"/>
      <c r="EH663" s="1309" t="e">
        <f t="shared" si="6"/>
        <v>#VALUE!</v>
      </c>
      <c r="EI663" s="1309"/>
      <c r="EJ663" s="1309"/>
      <c r="EK663" s="1309"/>
      <c r="EL663" s="1309"/>
      <c r="EM663" s="1309" t="e">
        <f t="shared" si="7"/>
        <v>#VALUE!</v>
      </c>
      <c r="EN663" s="1309"/>
      <c r="EO663" s="1309"/>
      <c r="EP663" s="1309"/>
      <c r="EQ663" s="1309"/>
      <c r="ER663" s="1309" t="e">
        <f t="shared" si="8"/>
        <v>#VALUE!</v>
      </c>
      <c r="ES663" s="1309"/>
      <c r="ET663" s="1309"/>
      <c r="EU663" s="1309"/>
      <c r="EV663" s="1309"/>
      <c r="EW663" s="1309" t="e">
        <f t="shared" si="9"/>
        <v>#VALUE!</v>
      </c>
      <c r="EX663" s="1309"/>
      <c r="EY663" s="1309"/>
      <c r="EZ663" s="1309"/>
      <c r="FA663" s="1309"/>
    </row>
    <row r="664" spans="1:157" ht="12.95" customHeight="1">
      <c r="A664" s="22"/>
      <c r="B664" t="s">
        <v>18</v>
      </c>
      <c r="H664" s="1380" t="s">
        <v>2768</v>
      </c>
      <c r="I664" s="1380"/>
      <c r="J664" s="1380"/>
      <c r="K664" s="1380"/>
      <c r="L664" s="1380"/>
      <c r="M664" s="1380"/>
      <c r="N664" s="1380"/>
      <c r="O664" s="1380"/>
      <c r="P664" s="1380"/>
      <c r="Q664" s="1380"/>
      <c r="R664" s="1380"/>
      <c r="T664" s="22"/>
      <c r="U664" t="s">
        <v>18</v>
      </c>
      <c r="AA664" s="1380" t="s">
        <v>2259</v>
      </c>
      <c r="AB664" s="1380"/>
      <c r="AC664" s="1380"/>
      <c r="AD664" s="1380"/>
      <c r="AE664" s="1380"/>
      <c r="AF664" s="1380"/>
      <c r="AG664" s="1380"/>
      <c r="AH664" s="1380"/>
      <c r="AI664" s="1380"/>
      <c r="AJ664" s="1380"/>
      <c r="AK664" s="1380"/>
      <c r="AZ664" s="34"/>
      <c r="BA664" s="34"/>
      <c r="BB664" s="34"/>
      <c r="BC664" s="34"/>
      <c r="BD664" s="34"/>
      <c r="BE664" s="34"/>
      <c r="BF664" s="34"/>
      <c r="BG664" s="34"/>
      <c r="BH664" s="34"/>
      <c r="BI664" s="34"/>
      <c r="BJ664" s="34"/>
      <c r="BK664" s="34"/>
      <c r="BL664" s="34"/>
      <c r="BM664" s="34"/>
      <c r="DX664" s="1309" t="e">
        <f t="shared" si="4"/>
        <v>#VALUE!</v>
      </c>
      <c r="DY664" s="1309"/>
      <c r="DZ664" s="1309"/>
      <c r="EA664" s="1309"/>
      <c r="EB664" s="1309"/>
      <c r="EC664" s="1309" t="e">
        <f t="shared" si="5"/>
        <v>#VALUE!</v>
      </c>
      <c r="ED664" s="1309"/>
      <c r="EE664" s="1309"/>
      <c r="EF664" s="1309"/>
      <c r="EG664" s="1309"/>
      <c r="EH664" s="1309" t="e">
        <f t="shared" si="6"/>
        <v>#VALUE!</v>
      </c>
      <c r="EI664" s="1309"/>
      <c r="EJ664" s="1309"/>
      <c r="EK664" s="1309"/>
      <c r="EL664" s="1309"/>
      <c r="EM664" s="1309" t="e">
        <f t="shared" si="7"/>
        <v>#VALUE!</v>
      </c>
      <c r="EN664" s="1309"/>
      <c r="EO664" s="1309"/>
      <c r="EP664" s="1309"/>
      <c r="EQ664" s="1309"/>
      <c r="ER664" s="1309" t="e">
        <f t="shared" si="8"/>
        <v>#VALUE!</v>
      </c>
      <c r="ES664" s="1309"/>
      <c r="ET664" s="1309"/>
      <c r="EU664" s="1309"/>
      <c r="EV664" s="1309"/>
      <c r="EW664" s="1309" t="e">
        <f t="shared" si="9"/>
        <v>#VALUE!</v>
      </c>
      <c r="EX664" s="1309"/>
      <c r="EY664" s="1309"/>
      <c r="EZ664" s="1309"/>
      <c r="FA664" s="1309"/>
    </row>
    <row r="665" spans="1:157" ht="12.95" customHeight="1">
      <c r="A665" s="22"/>
      <c r="B665" t="s">
        <v>20</v>
      </c>
      <c r="N665" s="1399" t="s">
        <v>544</v>
      </c>
      <c r="O665" s="1399"/>
      <c r="T665" s="22"/>
      <c r="U665" t="s">
        <v>20</v>
      </c>
      <c r="AG665" s="1399" t="s">
        <v>544</v>
      </c>
      <c r="AH665" s="1399"/>
      <c r="AZ665" s="34"/>
      <c r="BA665" s="34"/>
      <c r="BB665" s="34"/>
      <c r="BC665" s="34"/>
      <c r="BD665" s="34"/>
      <c r="BE665" s="34"/>
      <c r="BF665" s="34"/>
      <c r="BG665" s="34"/>
      <c r="BH665" s="34"/>
      <c r="BI665" s="34"/>
      <c r="BJ665" s="34"/>
      <c r="BK665" s="34"/>
      <c r="BL665" s="34"/>
      <c r="BM665" s="34"/>
      <c r="DX665" s="1309" t="e">
        <f t="shared" si="4"/>
        <v>#VALUE!</v>
      </c>
      <c r="DY665" s="1309"/>
      <c r="DZ665" s="1309"/>
      <c r="EA665" s="1309"/>
      <c r="EB665" s="1309"/>
      <c r="EC665" s="1309" t="e">
        <f t="shared" si="5"/>
        <v>#VALUE!</v>
      </c>
      <c r="ED665" s="1309"/>
      <c r="EE665" s="1309"/>
      <c r="EF665" s="1309"/>
      <c r="EG665" s="1309"/>
      <c r="EH665" s="1309" t="e">
        <f t="shared" si="6"/>
        <v>#VALUE!</v>
      </c>
      <c r="EI665" s="1309"/>
      <c r="EJ665" s="1309"/>
      <c r="EK665" s="1309"/>
      <c r="EL665" s="1309"/>
      <c r="EM665" s="1309" t="e">
        <f t="shared" si="7"/>
        <v>#VALUE!</v>
      </c>
      <c r="EN665" s="1309"/>
      <c r="EO665" s="1309"/>
      <c r="EP665" s="1309"/>
      <c r="EQ665" s="1309"/>
      <c r="ER665" s="1309" t="e">
        <f t="shared" si="8"/>
        <v>#VALUE!</v>
      </c>
      <c r="ES665" s="1309"/>
      <c r="ET665" s="1309"/>
      <c r="EU665" s="1309"/>
      <c r="EV665" s="1309"/>
      <c r="EW665" s="1309" t="e">
        <f t="shared" si="9"/>
        <v>#VALUE!</v>
      </c>
      <c r="EX665" s="1309"/>
      <c r="EY665" s="1309"/>
      <c r="EZ665" s="1309"/>
      <c r="FA665" s="1309"/>
    </row>
    <row r="666" spans="1:157" ht="12.95" customHeight="1">
      <c r="A666" s="22"/>
      <c r="T666" s="22"/>
      <c r="AZ666" s="34"/>
      <c r="BA666" s="34"/>
      <c r="BB666" s="34"/>
      <c r="BC666" s="34"/>
      <c r="BD666" s="34"/>
      <c r="BE666" s="34"/>
      <c r="BF666" s="34"/>
      <c r="BG666" s="34"/>
      <c r="BH666" s="34"/>
      <c r="BI666" s="34"/>
      <c r="BJ666" s="34"/>
      <c r="BK666" s="34"/>
      <c r="BL666" s="34"/>
      <c r="BM666" s="34"/>
      <c r="DX666" s="1309" t="e">
        <f t="shared" si="4"/>
        <v>#VALUE!</v>
      </c>
      <c r="DY666" s="1309"/>
      <c r="DZ666" s="1309"/>
      <c r="EA666" s="1309"/>
      <c r="EB666" s="1309"/>
      <c r="EC666" s="1309" t="e">
        <f t="shared" si="5"/>
        <v>#VALUE!</v>
      </c>
      <c r="ED666" s="1309"/>
      <c r="EE666" s="1309"/>
      <c r="EF666" s="1309"/>
      <c r="EG666" s="1309"/>
      <c r="EH666" s="1309" t="e">
        <f t="shared" si="6"/>
        <v>#VALUE!</v>
      </c>
      <c r="EI666" s="1309"/>
      <c r="EJ666" s="1309"/>
      <c r="EK666" s="1309"/>
      <c r="EL666" s="1309"/>
      <c r="EM666" s="1309" t="e">
        <f t="shared" si="7"/>
        <v>#VALUE!</v>
      </c>
      <c r="EN666" s="1309"/>
      <c r="EO666" s="1309"/>
      <c r="EP666" s="1309"/>
      <c r="EQ666" s="1309"/>
      <c r="ER666" s="1309" t="e">
        <f t="shared" si="8"/>
        <v>#VALUE!</v>
      </c>
      <c r="ES666" s="1309"/>
      <c r="ET666" s="1309"/>
      <c r="EU666" s="1309"/>
      <c r="EV666" s="1309"/>
      <c r="EW666" s="1309" t="e">
        <f t="shared" si="9"/>
        <v>#VALUE!</v>
      </c>
      <c r="EX666" s="1309"/>
      <c r="EY666" s="1309"/>
      <c r="EZ666" s="1309"/>
      <c r="FA666" s="1309"/>
    </row>
    <row r="667" spans="1:157" ht="12.95" customHeight="1">
      <c r="A667" s="55" t="s">
        <v>762</v>
      </c>
      <c r="B667" t="s">
        <v>462</v>
      </c>
      <c r="G667" s="1389">
        <f>C639</f>
        <v>0</v>
      </c>
      <c r="H667" s="1389"/>
      <c r="I667" s="1389"/>
      <c r="J667" s="1389"/>
      <c r="K667" s="1389"/>
      <c r="L667" s="1389"/>
      <c r="M667" s="1389"/>
      <c r="N667" s="1389"/>
      <c r="O667" s="1389"/>
      <c r="P667" s="1389"/>
      <c r="Q667" s="1389"/>
      <c r="R667" s="1389"/>
      <c r="T667" s="55" t="s">
        <v>583</v>
      </c>
      <c r="U667" t="s">
        <v>462</v>
      </c>
      <c r="Z667" s="1389">
        <f>C640</f>
        <v>0</v>
      </c>
      <c r="AA667" s="1389"/>
      <c r="AB667" s="1389"/>
      <c r="AC667" s="1389"/>
      <c r="AD667" s="1389"/>
      <c r="AE667" s="1389"/>
      <c r="AF667" s="1389"/>
      <c r="AG667" s="1389"/>
      <c r="AH667" s="1389"/>
      <c r="AI667" s="1389"/>
      <c r="AJ667" s="1389"/>
      <c r="AK667" s="1389"/>
      <c r="AZ667" s="34"/>
      <c r="BA667" s="34"/>
      <c r="BB667" s="34"/>
      <c r="BC667" s="34"/>
      <c r="BD667" s="34"/>
      <c r="BE667" s="34"/>
      <c r="BF667" s="34"/>
      <c r="BG667" s="34"/>
      <c r="BH667" s="34"/>
      <c r="BI667" s="34"/>
      <c r="BJ667" s="34"/>
      <c r="BK667" s="34"/>
      <c r="BL667" s="34"/>
      <c r="BM667" s="34"/>
      <c r="DX667" s="1309" t="e">
        <f t="shared" si="4"/>
        <v>#VALUE!</v>
      </c>
      <c r="DY667" s="1309"/>
      <c r="DZ667" s="1309"/>
      <c r="EA667" s="1309"/>
      <c r="EB667" s="1309"/>
      <c r="EC667" s="1309" t="e">
        <f t="shared" si="5"/>
        <v>#VALUE!</v>
      </c>
      <c r="ED667" s="1309"/>
      <c r="EE667" s="1309"/>
      <c r="EF667" s="1309"/>
      <c r="EG667" s="1309"/>
      <c r="EH667" s="1309" t="e">
        <f t="shared" si="6"/>
        <v>#VALUE!</v>
      </c>
      <c r="EI667" s="1309"/>
      <c r="EJ667" s="1309"/>
      <c r="EK667" s="1309"/>
      <c r="EL667" s="1309"/>
      <c r="EM667" s="1309" t="e">
        <f t="shared" si="7"/>
        <v>#VALUE!</v>
      </c>
      <c r="EN667" s="1309"/>
      <c r="EO667" s="1309"/>
      <c r="EP667" s="1309"/>
      <c r="EQ667" s="1309"/>
      <c r="ER667" s="1309" t="e">
        <f t="shared" si="8"/>
        <v>#VALUE!</v>
      </c>
      <c r="ES667" s="1309"/>
      <c r="ET667" s="1309"/>
      <c r="EU667" s="1309"/>
      <c r="EV667" s="1309"/>
      <c r="EW667" s="1309" t="e">
        <f t="shared" si="9"/>
        <v>#VALUE!</v>
      </c>
      <c r="EX667" s="1309"/>
      <c r="EY667" s="1309"/>
      <c r="EZ667" s="1309"/>
      <c r="FA667" s="1309"/>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4"/>
      <c r="BA668" s="34"/>
      <c r="BB668" s="34"/>
      <c r="BC668" s="34"/>
      <c r="BD668" s="34"/>
      <c r="BE668" s="34"/>
      <c r="BF668" s="34"/>
      <c r="BG668" s="34"/>
      <c r="BH668" s="34"/>
      <c r="BI668" s="34"/>
      <c r="BJ668" s="34"/>
      <c r="BK668" s="34"/>
      <c r="BL668" s="34"/>
      <c r="BM668" s="34"/>
      <c r="DX668" s="1309" t="e">
        <f t="shared" si="4"/>
        <v>#VALUE!</v>
      </c>
      <c r="DY668" s="1309"/>
      <c r="DZ668" s="1309"/>
      <c r="EA668" s="1309"/>
      <c r="EB668" s="1309"/>
      <c r="EC668" s="1309" t="e">
        <f t="shared" si="5"/>
        <v>#VALUE!</v>
      </c>
      <c r="ED668" s="1309"/>
      <c r="EE668" s="1309"/>
      <c r="EF668" s="1309"/>
      <c r="EG668" s="1309"/>
      <c r="EH668" s="1309" t="e">
        <f t="shared" si="6"/>
        <v>#VALUE!</v>
      </c>
      <c r="EI668" s="1309"/>
      <c r="EJ668" s="1309"/>
      <c r="EK668" s="1309"/>
      <c r="EL668" s="1309"/>
      <c r="EM668" s="1309" t="e">
        <f t="shared" si="7"/>
        <v>#VALUE!</v>
      </c>
      <c r="EN668" s="1309"/>
      <c r="EO668" s="1309"/>
      <c r="EP668" s="1309"/>
      <c r="EQ668" s="1309"/>
      <c r="ER668" s="1309" t="e">
        <f t="shared" si="8"/>
        <v>#VALUE!</v>
      </c>
      <c r="ES668" s="1309"/>
      <c r="ET668" s="1309"/>
      <c r="EU668" s="1309"/>
      <c r="EV668" s="1309"/>
      <c r="EW668" s="1309" t="e">
        <f t="shared" si="9"/>
        <v>#VALUE!</v>
      </c>
      <c r="EX668" s="1309"/>
      <c r="EY668" s="1309"/>
      <c r="EZ668" s="1309"/>
      <c r="FA668" s="1309"/>
    </row>
    <row r="669" spans="1:157" ht="12.95" customHeight="1">
      <c r="A669" s="22"/>
      <c r="B669" t="s">
        <v>579</v>
      </c>
      <c r="G669" s="1380"/>
      <c r="H669" s="1380"/>
      <c r="I669" s="1380"/>
      <c r="J669" s="1380"/>
      <c r="K669" s="1380"/>
      <c r="L669" s="1380"/>
      <c r="M669" s="1380"/>
      <c r="N669" s="1380"/>
      <c r="O669" s="1380"/>
      <c r="P669" s="1380"/>
      <c r="Q669" s="1380"/>
      <c r="R669" s="1380"/>
      <c r="T669" s="22"/>
      <c r="U669" t="s">
        <v>579</v>
      </c>
      <c r="Z669" s="1322"/>
      <c r="AA669" s="1322"/>
      <c r="AB669" s="1322"/>
      <c r="AC669" s="1322"/>
      <c r="AD669" s="1322"/>
      <c r="AE669" s="1322"/>
      <c r="AF669" s="1322"/>
      <c r="AG669" s="1322"/>
      <c r="AH669" s="1322"/>
      <c r="AI669" s="1322"/>
      <c r="AJ669" s="1322"/>
      <c r="AK669" s="1322"/>
      <c r="AZ669" s="34"/>
      <c r="BA669" s="34"/>
      <c r="BB669" s="34"/>
      <c r="BC669" s="34"/>
      <c r="BD669" s="34"/>
      <c r="BE669" s="34"/>
      <c r="BF669" s="34"/>
      <c r="BG669" s="34"/>
      <c r="BH669" s="34"/>
      <c r="BI669" s="34"/>
      <c r="BJ669" s="34"/>
      <c r="BK669" s="34"/>
      <c r="BL669" s="34"/>
      <c r="BM669" s="34"/>
      <c r="DX669" s="1309" t="e">
        <f t="shared" si="4"/>
        <v>#VALUE!</v>
      </c>
      <c r="DY669" s="1309"/>
      <c r="DZ669" s="1309"/>
      <c r="EA669" s="1309"/>
      <c r="EB669" s="1309"/>
      <c r="EC669" s="1309" t="e">
        <f t="shared" si="5"/>
        <v>#VALUE!</v>
      </c>
      <c r="ED669" s="1309"/>
      <c r="EE669" s="1309"/>
      <c r="EF669" s="1309"/>
      <c r="EG669" s="1309"/>
      <c r="EH669" s="1309" t="e">
        <f t="shared" si="6"/>
        <v>#VALUE!</v>
      </c>
      <c r="EI669" s="1309"/>
      <c r="EJ669" s="1309"/>
      <c r="EK669" s="1309"/>
      <c r="EL669" s="1309"/>
      <c r="EM669" s="1309" t="e">
        <f t="shared" si="7"/>
        <v>#VALUE!</v>
      </c>
      <c r="EN669" s="1309"/>
      <c r="EO669" s="1309"/>
      <c r="EP669" s="1309"/>
      <c r="EQ669" s="1309"/>
      <c r="ER669" s="1309" t="e">
        <f t="shared" si="8"/>
        <v>#VALUE!</v>
      </c>
      <c r="ES669" s="1309"/>
      <c r="ET669" s="1309"/>
      <c r="EU669" s="1309"/>
      <c r="EV669" s="1309"/>
      <c r="EW669" s="1309" t="e">
        <f t="shared" si="9"/>
        <v>#VALUE!</v>
      </c>
      <c r="EX669" s="1309"/>
      <c r="EY669" s="1309"/>
      <c r="EZ669" s="1309"/>
      <c r="FA669" s="1309"/>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322"/>
      <c r="AA670" s="1322"/>
      <c r="AB670" s="1322"/>
      <c r="AC670" s="1322"/>
      <c r="AD670" s="1322"/>
      <c r="AE670" s="1322"/>
      <c r="AF670" s="1322"/>
      <c r="AG670" s="1322"/>
      <c r="AH670" s="1322"/>
      <c r="AI670" s="1322"/>
      <c r="AJ670" s="1322"/>
      <c r="AK670" s="132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09" t="e">
        <f t="shared" si="4"/>
        <v>#VALUE!</v>
      </c>
      <c r="DY670" s="1309"/>
      <c r="DZ670" s="1309"/>
      <c r="EA670" s="1309"/>
      <c r="EB670" s="1309"/>
      <c r="EC670" s="1309" t="e">
        <f t="shared" si="5"/>
        <v>#VALUE!</v>
      </c>
      <c r="ED670" s="1309"/>
      <c r="EE670" s="1309"/>
      <c r="EF670" s="1309"/>
      <c r="EG670" s="1309"/>
      <c r="EH670" s="1309" t="e">
        <f t="shared" si="6"/>
        <v>#VALUE!</v>
      </c>
      <c r="EI670" s="1309"/>
      <c r="EJ670" s="1309"/>
      <c r="EK670" s="1309"/>
      <c r="EL670" s="1309"/>
      <c r="EM670" s="1309" t="e">
        <f t="shared" si="7"/>
        <v>#VALUE!</v>
      </c>
      <c r="EN670" s="1309"/>
      <c r="EO670" s="1309"/>
      <c r="EP670" s="1309"/>
      <c r="EQ670" s="1309"/>
      <c r="ER670" s="1309" t="e">
        <f t="shared" si="8"/>
        <v>#VALUE!</v>
      </c>
      <c r="ES670" s="1309"/>
      <c r="ET670" s="1309"/>
      <c r="EU670" s="1309"/>
      <c r="EV670" s="1309"/>
      <c r="EW670" s="1309" t="e">
        <f t="shared" si="9"/>
        <v>#VALUE!</v>
      </c>
      <c r="EX670" s="1309"/>
      <c r="EY670" s="1309"/>
      <c r="EZ670" s="1309"/>
      <c r="FA670" s="1309"/>
    </row>
    <row r="671" spans="1:157" ht="12.95" customHeight="1">
      <c r="A671" s="22"/>
      <c r="B671" t="s">
        <v>316</v>
      </c>
      <c r="G671" s="1430"/>
      <c r="H671" s="1430"/>
      <c r="I671" s="1430"/>
      <c r="J671" s="1430"/>
      <c r="K671" s="1430"/>
      <c r="L671" s="1430"/>
      <c r="O671" s="33" t="s">
        <v>206</v>
      </c>
      <c r="P671" s="1361"/>
      <c r="Q671" s="1361"/>
      <c r="R671" s="1361"/>
      <c r="T671" s="22"/>
      <c r="U671" t="s">
        <v>316</v>
      </c>
      <c r="Z671" s="1430"/>
      <c r="AA671" s="1430"/>
      <c r="AB671" s="1430"/>
      <c r="AC671" s="1430"/>
      <c r="AD671" s="1430"/>
      <c r="AE671" s="1430"/>
      <c r="AH671" s="33" t="s">
        <v>206</v>
      </c>
      <c r="AI671" s="1361"/>
      <c r="AJ671" s="1361"/>
      <c r="AK671" s="136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09" t="e">
        <f t="shared" si="4"/>
        <v>#VALUE!</v>
      </c>
      <c r="DY671" s="1309"/>
      <c r="DZ671" s="1309"/>
      <c r="EA671" s="1309"/>
      <c r="EB671" s="1309"/>
      <c r="EC671" s="1309" t="e">
        <f t="shared" si="5"/>
        <v>#VALUE!</v>
      </c>
      <c r="ED671" s="1309"/>
      <c r="EE671" s="1309"/>
      <c r="EF671" s="1309"/>
      <c r="EG671" s="1309"/>
      <c r="EH671" s="1309" t="e">
        <f t="shared" si="6"/>
        <v>#VALUE!</v>
      </c>
      <c r="EI671" s="1309"/>
      <c r="EJ671" s="1309"/>
      <c r="EK671" s="1309"/>
      <c r="EL671" s="1309"/>
      <c r="EM671" s="1309" t="e">
        <f t="shared" si="7"/>
        <v>#VALUE!</v>
      </c>
      <c r="EN671" s="1309"/>
      <c r="EO671" s="1309"/>
      <c r="EP671" s="1309"/>
      <c r="EQ671" s="1309"/>
      <c r="ER671" s="1309" t="e">
        <f t="shared" si="8"/>
        <v>#VALUE!</v>
      </c>
      <c r="ES671" s="1309"/>
      <c r="ET671" s="1309"/>
      <c r="EU671" s="1309"/>
      <c r="EV671" s="1309"/>
      <c r="EW671" s="1309" t="e">
        <f t="shared" si="9"/>
        <v>#VALUE!</v>
      </c>
      <c r="EX671" s="1309"/>
      <c r="EY671" s="1309"/>
      <c r="EZ671" s="1309"/>
      <c r="FA671" s="1309"/>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09" t="e">
        <f t="shared" si="4"/>
        <v>#VALUE!</v>
      </c>
      <c r="DY672" s="1309"/>
      <c r="DZ672" s="1309"/>
      <c r="EA672" s="1309"/>
      <c r="EB672" s="1309"/>
      <c r="EC672" s="1309" t="e">
        <f t="shared" si="5"/>
        <v>#VALUE!</v>
      </c>
      <c r="ED672" s="1309"/>
      <c r="EE672" s="1309"/>
      <c r="EF672" s="1309"/>
      <c r="EG672" s="1309"/>
      <c r="EH672" s="1309" t="e">
        <f t="shared" si="6"/>
        <v>#VALUE!</v>
      </c>
      <c r="EI672" s="1309"/>
      <c r="EJ672" s="1309"/>
      <c r="EK672" s="1309"/>
      <c r="EL672" s="1309"/>
      <c r="EM672" s="1309" t="e">
        <f t="shared" si="7"/>
        <v>#VALUE!</v>
      </c>
      <c r="EN672" s="1309"/>
      <c r="EO672" s="1309"/>
      <c r="EP672" s="1309"/>
      <c r="EQ672" s="1309"/>
      <c r="ER672" s="1309" t="e">
        <f t="shared" si="8"/>
        <v>#VALUE!</v>
      </c>
      <c r="ES672" s="1309"/>
      <c r="ET672" s="1309"/>
      <c r="EU672" s="1309"/>
      <c r="EV672" s="1309"/>
      <c r="EW672" s="1309" t="e">
        <f t="shared" si="9"/>
        <v>#VALUE!</v>
      </c>
      <c r="EX672" s="1309"/>
      <c r="EY672" s="1309"/>
      <c r="EZ672" s="1309"/>
      <c r="FA672" s="1309"/>
    </row>
    <row r="673" spans="1:157" ht="12.95" customHeight="1">
      <c r="A673" s="22"/>
      <c r="B673" t="s">
        <v>20</v>
      </c>
      <c r="N673" s="1399" t="s">
        <v>668</v>
      </c>
      <c r="O673" s="1399"/>
      <c r="T673" s="22"/>
      <c r="U673" t="s">
        <v>20</v>
      </c>
      <c r="AG673" s="1399" t="s">
        <v>668</v>
      </c>
      <c r="AH673" s="139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09" t="e">
        <f t="shared" si="4"/>
        <v>#VALUE!</v>
      </c>
      <c r="DY673" s="1309"/>
      <c r="DZ673" s="1309"/>
      <c r="EA673" s="1309"/>
      <c r="EB673" s="1309"/>
      <c r="EC673" s="1309" t="e">
        <f t="shared" si="5"/>
        <v>#VALUE!</v>
      </c>
      <c r="ED673" s="1309"/>
      <c r="EE673" s="1309"/>
      <c r="EF673" s="1309"/>
      <c r="EG673" s="1309"/>
      <c r="EH673" s="1309" t="e">
        <f t="shared" si="6"/>
        <v>#VALUE!</v>
      </c>
      <c r="EI673" s="1309"/>
      <c r="EJ673" s="1309"/>
      <c r="EK673" s="1309"/>
      <c r="EL673" s="1309"/>
      <c r="EM673" s="1309" t="e">
        <f t="shared" si="7"/>
        <v>#VALUE!</v>
      </c>
      <c r="EN673" s="1309"/>
      <c r="EO673" s="1309"/>
      <c r="EP673" s="1309"/>
      <c r="EQ673" s="1309"/>
      <c r="ER673" s="1309" t="e">
        <f t="shared" si="8"/>
        <v>#VALUE!</v>
      </c>
      <c r="ES673" s="1309"/>
      <c r="ET673" s="1309"/>
      <c r="EU673" s="1309"/>
      <c r="EV673" s="1309"/>
      <c r="EW673" s="1309" t="e">
        <f t="shared" si="9"/>
        <v>#VALUE!</v>
      </c>
      <c r="EX673" s="1309"/>
      <c r="EY673" s="1309"/>
      <c r="EZ673" s="1309"/>
      <c r="FA673" s="130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09" t="e">
        <f t="shared" si="4"/>
        <v>#VALUE!</v>
      </c>
      <c r="DY674" s="1309"/>
      <c r="DZ674" s="1309"/>
      <c r="EA674" s="1309"/>
      <c r="EB674" s="1309"/>
      <c r="EC674" s="1309" t="e">
        <f t="shared" si="5"/>
        <v>#VALUE!</v>
      </c>
      <c r="ED674" s="1309"/>
      <c r="EE674" s="1309"/>
      <c r="EF674" s="1309"/>
      <c r="EG674" s="1309"/>
      <c r="EH674" s="1309" t="e">
        <f t="shared" si="6"/>
        <v>#VALUE!</v>
      </c>
      <c r="EI674" s="1309"/>
      <c r="EJ674" s="1309"/>
      <c r="EK674" s="1309"/>
      <c r="EL674" s="1309"/>
      <c r="EM674" s="1309" t="e">
        <f t="shared" si="7"/>
        <v>#VALUE!</v>
      </c>
      <c r="EN674" s="1309"/>
      <c r="EO674" s="1309"/>
      <c r="EP674" s="1309"/>
      <c r="EQ674" s="1309"/>
      <c r="ER674" s="1309" t="e">
        <f t="shared" si="8"/>
        <v>#VALUE!</v>
      </c>
      <c r="ES674" s="1309"/>
      <c r="ET674" s="1309"/>
      <c r="EU674" s="1309"/>
      <c r="EV674" s="1309"/>
      <c r="EW674" s="1309" t="e">
        <f t="shared" si="9"/>
        <v>#VALUE!</v>
      </c>
      <c r="EX674" s="1309"/>
      <c r="EY674" s="1309"/>
      <c r="EZ674" s="1309"/>
      <c r="FA674" s="1309"/>
    </row>
    <row r="675" spans="1:157" ht="12.95" customHeight="1">
      <c r="A675" s="55" t="s">
        <v>454</v>
      </c>
      <c r="B675" t="s">
        <v>462</v>
      </c>
      <c r="G675" s="1389">
        <f>C641</f>
        <v>0</v>
      </c>
      <c r="H675" s="1389"/>
      <c r="I675" s="1389"/>
      <c r="J675" s="1389"/>
      <c r="K675" s="1389"/>
      <c r="L675" s="1389"/>
      <c r="M675" s="1389"/>
      <c r="N675" s="1389"/>
      <c r="O675" s="1389"/>
      <c r="P675" s="1389"/>
      <c r="Q675" s="1389"/>
      <c r="R675" s="1389"/>
      <c r="T675" s="55" t="s">
        <v>455</v>
      </c>
      <c r="U675" t="s">
        <v>462</v>
      </c>
      <c r="Z675" s="1389">
        <f>C642</f>
        <v>0</v>
      </c>
      <c r="AA675" s="1389"/>
      <c r="AB675" s="1389"/>
      <c r="AC675" s="1389"/>
      <c r="AD675" s="1389"/>
      <c r="AE675" s="1389"/>
      <c r="AF675" s="1389"/>
      <c r="AG675" s="1389"/>
      <c r="AH675" s="1389"/>
      <c r="AI675" s="1389"/>
      <c r="AJ675" s="1389"/>
      <c r="AK675" s="138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09" t="e">
        <f t="shared" si="4"/>
        <v>#VALUE!</v>
      </c>
      <c r="DY675" s="1309"/>
      <c r="DZ675" s="1309"/>
      <c r="EA675" s="1309"/>
      <c r="EB675" s="1309"/>
      <c r="EC675" s="1309" t="e">
        <f t="shared" si="5"/>
        <v>#VALUE!</v>
      </c>
      <c r="ED675" s="1309"/>
      <c r="EE675" s="1309"/>
      <c r="EF675" s="1309"/>
      <c r="EG675" s="1309"/>
      <c r="EH675" s="1309" t="e">
        <f t="shared" si="6"/>
        <v>#VALUE!</v>
      </c>
      <c r="EI675" s="1309"/>
      <c r="EJ675" s="1309"/>
      <c r="EK675" s="1309"/>
      <c r="EL675" s="1309"/>
      <c r="EM675" s="1309" t="e">
        <f t="shared" si="7"/>
        <v>#VALUE!</v>
      </c>
      <c r="EN675" s="1309"/>
      <c r="EO675" s="1309"/>
      <c r="EP675" s="1309"/>
      <c r="EQ675" s="1309"/>
      <c r="ER675" s="1309" t="e">
        <f t="shared" si="8"/>
        <v>#VALUE!</v>
      </c>
      <c r="ES675" s="1309"/>
      <c r="ET675" s="1309"/>
      <c r="EU675" s="1309"/>
      <c r="EV675" s="1309"/>
      <c r="EW675" s="1309" t="e">
        <f t="shared" si="9"/>
        <v>#VALUE!</v>
      </c>
      <c r="EX675" s="1309"/>
      <c r="EY675" s="1309"/>
      <c r="EZ675" s="1309"/>
      <c r="FA675" s="1309"/>
    </row>
    <row r="676" spans="1:157"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09" t="e">
        <f t="shared" si="4"/>
        <v>#VALUE!</v>
      </c>
      <c r="DY676" s="1309"/>
      <c r="DZ676" s="1309"/>
      <c r="EA676" s="1309"/>
      <c r="EB676" s="1309"/>
      <c r="EC676" s="1309" t="e">
        <f t="shared" si="5"/>
        <v>#VALUE!</v>
      </c>
      <c r="ED676" s="1309"/>
      <c r="EE676" s="1309"/>
      <c r="EF676" s="1309"/>
      <c r="EG676" s="1309"/>
      <c r="EH676" s="1309" t="e">
        <f t="shared" si="6"/>
        <v>#VALUE!</v>
      </c>
      <c r="EI676" s="1309"/>
      <c r="EJ676" s="1309"/>
      <c r="EK676" s="1309"/>
      <c r="EL676" s="1309"/>
      <c r="EM676" s="1309" t="e">
        <f t="shared" si="7"/>
        <v>#VALUE!</v>
      </c>
      <c r="EN676" s="1309"/>
      <c r="EO676" s="1309"/>
      <c r="EP676" s="1309"/>
      <c r="EQ676" s="1309"/>
      <c r="ER676" s="1309" t="e">
        <f t="shared" si="8"/>
        <v>#VALUE!</v>
      </c>
      <c r="ES676" s="1309"/>
      <c r="ET676" s="1309"/>
      <c r="EU676" s="1309"/>
      <c r="EV676" s="1309"/>
      <c r="EW676" s="1309" t="e">
        <f t="shared" si="9"/>
        <v>#VALUE!</v>
      </c>
      <c r="EX676" s="1309"/>
      <c r="EY676" s="1309"/>
      <c r="EZ676" s="1309"/>
      <c r="FA676" s="1309"/>
    </row>
    <row r="677" spans="1:157" ht="12.95" customHeight="1">
      <c r="A677" s="22"/>
      <c r="B677" t="s">
        <v>579</v>
      </c>
      <c r="G677" s="1380"/>
      <c r="H677" s="1380"/>
      <c r="I677" s="1380"/>
      <c r="J677" s="1380"/>
      <c r="K677" s="1380"/>
      <c r="L677" s="1380"/>
      <c r="M677" s="1380"/>
      <c r="N677" s="1380"/>
      <c r="O677" s="1380"/>
      <c r="P677" s="1380"/>
      <c r="Q677" s="1380"/>
      <c r="R677" s="1380"/>
      <c r="T677" s="22"/>
      <c r="U677" t="s">
        <v>579</v>
      </c>
      <c r="Z677" s="1322"/>
      <c r="AA677" s="1322"/>
      <c r="AB677" s="1322"/>
      <c r="AC677" s="1322"/>
      <c r="AD677" s="1322"/>
      <c r="AE677" s="1322"/>
      <c r="AF677" s="1322"/>
      <c r="AG677" s="1322"/>
      <c r="AH677" s="1322"/>
      <c r="AI677" s="1322"/>
      <c r="AJ677" s="1322"/>
      <c r="AK677" s="132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09" t="e">
        <f t="shared" si="4"/>
        <v>#VALUE!</v>
      </c>
      <c r="DY677" s="1309"/>
      <c r="DZ677" s="1309"/>
      <c r="EA677" s="1309"/>
      <c r="EB677" s="1309"/>
      <c r="EC677" s="1309" t="e">
        <f t="shared" si="5"/>
        <v>#VALUE!</v>
      </c>
      <c r="ED677" s="1309"/>
      <c r="EE677" s="1309"/>
      <c r="EF677" s="1309"/>
      <c r="EG677" s="1309"/>
      <c r="EH677" s="1309" t="e">
        <f t="shared" si="6"/>
        <v>#VALUE!</v>
      </c>
      <c r="EI677" s="1309"/>
      <c r="EJ677" s="1309"/>
      <c r="EK677" s="1309"/>
      <c r="EL677" s="1309"/>
      <c r="EM677" s="1309" t="e">
        <f t="shared" si="7"/>
        <v>#VALUE!</v>
      </c>
      <c r="EN677" s="1309"/>
      <c r="EO677" s="1309"/>
      <c r="EP677" s="1309"/>
      <c r="EQ677" s="1309"/>
      <c r="ER677" s="1309" t="e">
        <f t="shared" si="8"/>
        <v>#VALUE!</v>
      </c>
      <c r="ES677" s="1309"/>
      <c r="ET677" s="1309"/>
      <c r="EU677" s="1309"/>
      <c r="EV677" s="1309"/>
      <c r="EW677" s="1309" t="e">
        <f t="shared" si="9"/>
        <v>#VALUE!</v>
      </c>
      <c r="EX677" s="1309"/>
      <c r="EY677" s="1309"/>
      <c r="EZ677" s="1309"/>
      <c r="FA677" s="1309"/>
    </row>
    <row r="678" spans="1:157" ht="12.95" customHeight="1">
      <c r="A678" s="22"/>
      <c r="B678" t="s">
        <v>17</v>
      </c>
      <c r="G678" s="1380"/>
      <c r="H678" s="1380"/>
      <c r="I678" s="1380"/>
      <c r="J678" s="1380"/>
      <c r="K678" s="1380"/>
      <c r="L678" s="1380"/>
      <c r="M678" s="1380"/>
      <c r="N678" s="1380"/>
      <c r="O678" s="1380"/>
      <c r="P678" s="1380"/>
      <c r="Q678" s="1380"/>
      <c r="R678" s="1380"/>
      <c r="T678" s="22"/>
      <c r="U678" t="s">
        <v>17</v>
      </c>
      <c r="Z678" s="1322"/>
      <c r="AA678" s="1322"/>
      <c r="AB678" s="1322"/>
      <c r="AC678" s="1322"/>
      <c r="AD678" s="1322"/>
      <c r="AE678" s="1322"/>
      <c r="AF678" s="1322"/>
      <c r="AG678" s="1322"/>
      <c r="AH678" s="1322"/>
      <c r="AI678" s="1322"/>
      <c r="AJ678" s="1322"/>
      <c r="AK678" s="132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09">
        <f>SUMIF(DX643:EB677,"&gt;0")</f>
        <v>0</v>
      </c>
      <c r="DY678" s="1309"/>
      <c r="DZ678" s="1309"/>
      <c r="EA678" s="1309"/>
      <c r="EB678" s="1309"/>
      <c r="EC678" s="1309">
        <f>SUMIF(EC643:EG677,"&gt;0")</f>
        <v>1371.9344262295081</v>
      </c>
      <c r="ED678" s="1309"/>
      <c r="EE678" s="1309"/>
      <c r="EF678" s="1309"/>
      <c r="EG678" s="1309"/>
      <c r="EH678" s="1309">
        <f>SUMIF(EH643:EL677,"&gt;0")</f>
        <v>2089.0458333333331</v>
      </c>
      <c r="EI678" s="1309"/>
      <c r="EJ678" s="1309"/>
      <c r="EK678" s="1309"/>
      <c r="EL678" s="1309"/>
      <c r="EM678" s="1309">
        <f>SUMIF(EM643:EQ677,"&gt;0")</f>
        <v>2536.1</v>
      </c>
      <c r="EN678" s="1309"/>
      <c r="EO678" s="1309"/>
      <c r="EP678" s="1309"/>
      <c r="EQ678" s="1309"/>
      <c r="ER678" s="1309">
        <f>SUMIF(ER643:EV677,"&gt;0")</f>
        <v>0</v>
      </c>
      <c r="ES678" s="1309"/>
      <c r="ET678" s="1309"/>
      <c r="EU678" s="1309"/>
      <c r="EV678" s="1309"/>
      <c r="EW678" s="1309">
        <f>SUMIF(EW643:FA677,"&gt;0")</f>
        <v>0</v>
      </c>
      <c r="EX678" s="1309"/>
      <c r="EY678" s="1309"/>
      <c r="EZ678" s="1309"/>
      <c r="FA678" s="1309"/>
    </row>
    <row r="679" spans="1:157" ht="12.95" customHeight="1">
      <c r="A679" s="22"/>
      <c r="B679" t="s">
        <v>316</v>
      </c>
      <c r="G679" s="1430"/>
      <c r="H679" s="1430"/>
      <c r="I679" s="1430"/>
      <c r="J679" s="1430"/>
      <c r="K679" s="1430"/>
      <c r="L679" s="1430"/>
      <c r="O679" s="33" t="s">
        <v>206</v>
      </c>
      <c r="P679" s="1361"/>
      <c r="Q679" s="1361"/>
      <c r="R679" s="1361"/>
      <c r="T679" s="22"/>
      <c r="U679" t="s">
        <v>316</v>
      </c>
      <c r="Z679" s="1430"/>
      <c r="AA679" s="1430"/>
      <c r="AB679" s="1430"/>
      <c r="AC679" s="1430"/>
      <c r="AD679" s="1430"/>
      <c r="AE679" s="1430"/>
      <c r="AH679" s="33" t="s">
        <v>206</v>
      </c>
      <c r="AI679" s="1361"/>
      <c r="AJ679" s="1361"/>
      <c r="AK679" s="136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9" t="s">
        <v>668</v>
      </c>
      <c r="O681" s="1399"/>
      <c r="T681" s="22"/>
      <c r="U681" t="s">
        <v>20</v>
      </c>
      <c r="AG681" s="1399" t="s">
        <v>668</v>
      </c>
      <c r="AH681" s="1399"/>
      <c r="AZ681" s="3"/>
    </row>
    <row r="682" spans="1:157" ht="12.95" customHeight="1">
      <c r="A682" s="22"/>
      <c r="T682" s="22"/>
      <c r="AZ682" s="3"/>
    </row>
    <row r="683" spans="1:157" ht="12.95" customHeight="1">
      <c r="A683" s="55" t="s">
        <v>460</v>
      </c>
      <c r="B683" t="s">
        <v>462</v>
      </c>
      <c r="G683" s="1389">
        <f>C643</f>
        <v>0</v>
      </c>
      <c r="H683" s="1389"/>
      <c r="I683" s="1389"/>
      <c r="J683" s="1389"/>
      <c r="K683" s="1389"/>
      <c r="L683" s="1389"/>
      <c r="M683" s="1389"/>
      <c r="N683" s="1389"/>
      <c r="O683" s="1389"/>
      <c r="P683" s="1389"/>
      <c r="Q683" s="1389"/>
      <c r="R683" s="1389"/>
      <c r="T683" s="55" t="s">
        <v>645</v>
      </c>
      <c r="U683" t="s">
        <v>462</v>
      </c>
      <c r="Z683" s="1389">
        <f>C644</f>
        <v>0</v>
      </c>
      <c r="AA683" s="1389"/>
      <c r="AB683" s="1389"/>
      <c r="AC683" s="1389"/>
      <c r="AD683" s="1389"/>
      <c r="AE683" s="1389"/>
      <c r="AF683" s="1389"/>
      <c r="AG683" s="1389"/>
      <c r="AH683" s="1389"/>
      <c r="AI683" s="1389"/>
      <c r="AJ683" s="1389"/>
      <c r="AK683" s="1389"/>
      <c r="AZ683" s="3"/>
    </row>
    <row r="684" spans="1:157" ht="12.95" customHeight="1">
      <c r="A684" s="22"/>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row>
    <row r="685" spans="1:157" ht="12.95" customHeight="1">
      <c r="A685" s="22"/>
      <c r="B685" t="s">
        <v>579</v>
      </c>
      <c r="G685" s="1380"/>
      <c r="H685" s="1380"/>
      <c r="I685" s="1380"/>
      <c r="J685" s="1380"/>
      <c r="K685" s="1380"/>
      <c r="L685" s="1380"/>
      <c r="M685" s="1380"/>
      <c r="N685" s="1380"/>
      <c r="O685" s="1380"/>
      <c r="P685" s="1380"/>
      <c r="Q685" s="1380"/>
      <c r="R685" s="1380"/>
      <c r="T685" s="22"/>
      <c r="U685" t="s">
        <v>579</v>
      </c>
      <c r="Z685" s="1322"/>
      <c r="AA685" s="1322"/>
      <c r="AB685" s="1322"/>
      <c r="AC685" s="1322"/>
      <c r="AD685" s="1322"/>
      <c r="AE685" s="1322"/>
      <c r="AF685" s="1322"/>
      <c r="AG685" s="1322"/>
      <c r="AH685" s="1322"/>
      <c r="AI685" s="1322"/>
      <c r="AJ685" s="1322"/>
      <c r="AK685" s="1322"/>
      <c r="AZ685" s="3"/>
    </row>
    <row r="686" spans="1:157" ht="12.95" customHeight="1">
      <c r="A686" s="22"/>
      <c r="B686" t="s">
        <v>17</v>
      </c>
      <c r="G686" s="1380"/>
      <c r="H686" s="1380"/>
      <c r="I686" s="1380"/>
      <c r="J686" s="1380"/>
      <c r="K686" s="1380"/>
      <c r="L686" s="1380"/>
      <c r="M686" s="1380"/>
      <c r="N686" s="1380"/>
      <c r="O686" s="1380"/>
      <c r="P686" s="1380"/>
      <c r="Q686" s="1380"/>
      <c r="R686" s="1380"/>
      <c r="T686" s="22"/>
      <c r="U686" t="s">
        <v>17</v>
      </c>
      <c r="Z686" s="1322"/>
      <c r="AA686" s="1322"/>
      <c r="AB686" s="1322"/>
      <c r="AC686" s="1322"/>
      <c r="AD686" s="1322"/>
      <c r="AE686" s="1322"/>
      <c r="AF686" s="1322"/>
      <c r="AG686" s="1322"/>
      <c r="AH686" s="1322"/>
      <c r="AI686" s="1322"/>
      <c r="AJ686" s="1322"/>
      <c r="AK686" s="1322"/>
      <c r="AZ686" s="3"/>
    </row>
    <row r="687" spans="1:157" ht="12.95" customHeight="1">
      <c r="A687" s="22"/>
      <c r="B687" t="s">
        <v>316</v>
      </c>
      <c r="G687" s="1430"/>
      <c r="H687" s="1430"/>
      <c r="I687" s="1430"/>
      <c r="J687" s="1430"/>
      <c r="K687" s="1430"/>
      <c r="L687" s="1430"/>
      <c r="O687" s="33" t="s">
        <v>206</v>
      </c>
      <c r="P687" s="1361"/>
      <c r="Q687" s="1361"/>
      <c r="R687" s="1361"/>
      <c r="T687" s="22"/>
      <c r="U687" t="s">
        <v>316</v>
      </c>
      <c r="Z687" s="1430"/>
      <c r="AA687" s="1430"/>
      <c r="AB687" s="1430"/>
      <c r="AC687" s="1430"/>
      <c r="AD687" s="1430"/>
      <c r="AE687" s="1430"/>
      <c r="AH687" s="33" t="s">
        <v>206</v>
      </c>
      <c r="AI687" s="1361"/>
      <c r="AJ687" s="1361"/>
      <c r="AK687" s="1361"/>
      <c r="AZ687" s="3"/>
    </row>
    <row r="688" spans="1:157" ht="12.95" customHeight="1">
      <c r="A688" s="22"/>
      <c r="B688" t="s">
        <v>18</v>
      </c>
      <c r="H688" s="1380"/>
      <c r="I688" s="1380"/>
      <c r="J688" s="1380"/>
      <c r="K688" s="1380"/>
      <c r="L688" s="1380"/>
      <c r="M688" s="1380"/>
      <c r="N688" s="1380"/>
      <c r="O688" s="1380"/>
      <c r="P688" s="1380"/>
      <c r="Q688" s="1380"/>
      <c r="R688" s="1380"/>
      <c r="T688" s="22"/>
      <c r="U688" t="s">
        <v>18</v>
      </c>
      <c r="AA688" s="1380"/>
      <c r="AB688" s="1380"/>
      <c r="AC688" s="1380"/>
      <c r="AD688" s="1380"/>
      <c r="AE688" s="1380"/>
      <c r="AF688" s="1380"/>
      <c r="AG688" s="1380"/>
      <c r="AH688" s="1380"/>
      <c r="AI688" s="1380"/>
      <c r="AJ688" s="1380"/>
      <c r="AK688" s="1380"/>
      <c r="AZ688" s="3"/>
    </row>
    <row r="689" spans="1:52" ht="12.95" customHeight="1">
      <c r="A689" s="22"/>
      <c r="B689" t="s">
        <v>20</v>
      </c>
      <c r="N689" s="1399" t="s">
        <v>668</v>
      </c>
      <c r="O689" s="1399"/>
      <c r="T689" s="22"/>
      <c r="U689" t="s">
        <v>20</v>
      </c>
      <c r="AG689" s="1399" t="s">
        <v>668</v>
      </c>
      <c r="AH689" s="1399"/>
      <c r="AZ689" s="3"/>
    </row>
    <row r="690" spans="1:52" ht="12.95" customHeight="1">
      <c r="A690" s="22"/>
      <c r="T690" s="22"/>
      <c r="AZ690" s="3"/>
    </row>
    <row r="691" spans="1:52" ht="12.95" customHeight="1">
      <c r="A691" s="55" t="s">
        <v>362</v>
      </c>
      <c r="B691" t="s">
        <v>462</v>
      </c>
      <c r="G691" s="1389">
        <f>C645</f>
        <v>0</v>
      </c>
      <c r="H691" s="1389"/>
      <c r="I691" s="1389"/>
      <c r="J691" s="1389"/>
      <c r="K691" s="1389"/>
      <c r="L691" s="1389"/>
      <c r="M691" s="1389"/>
      <c r="N691" s="1389"/>
      <c r="O691" s="1389"/>
      <c r="P691" s="1389"/>
      <c r="Q691" s="1389"/>
      <c r="R691" s="1389"/>
      <c r="T691" s="55" t="s">
        <v>363</v>
      </c>
      <c r="U691" t="s">
        <v>462</v>
      </c>
      <c r="Z691" s="1389">
        <f>C646</f>
        <v>0</v>
      </c>
      <c r="AA691" s="1389"/>
      <c r="AB691" s="1389"/>
      <c r="AC691" s="1389"/>
      <c r="AD691" s="1389"/>
      <c r="AE691" s="1389"/>
      <c r="AF691" s="1389"/>
      <c r="AG691" s="1389"/>
      <c r="AH691" s="1389"/>
      <c r="AI691" s="1389"/>
      <c r="AJ691" s="1389"/>
      <c r="AK691" s="1389"/>
      <c r="AZ691" s="3"/>
    </row>
    <row r="692" spans="1:52" ht="12.95" customHeight="1">
      <c r="B692" t="s">
        <v>85</v>
      </c>
      <c r="G692" s="1380"/>
      <c r="H692" s="1380"/>
      <c r="I692" s="1380"/>
      <c r="J692" s="1380"/>
      <c r="K692" s="1380"/>
      <c r="L692" s="1380"/>
      <c r="M692" s="1380"/>
      <c r="N692" s="1380"/>
      <c r="O692" s="1380"/>
      <c r="P692" s="1380"/>
      <c r="Q692" s="1380"/>
      <c r="R692" s="1380"/>
      <c r="T692" s="22"/>
      <c r="U692" t="s">
        <v>85</v>
      </c>
      <c r="Z692" s="1380"/>
      <c r="AA692" s="1380"/>
      <c r="AB692" s="1380"/>
      <c r="AC692" s="1380"/>
      <c r="AD692" s="1380"/>
      <c r="AE692" s="1380"/>
      <c r="AF692" s="1380"/>
      <c r="AG692" s="1380"/>
      <c r="AH692" s="1380"/>
      <c r="AI692" s="1380"/>
      <c r="AJ692" s="1380"/>
      <c r="AK692" s="1380"/>
      <c r="AZ692" s="3"/>
    </row>
    <row r="693" spans="1:52" ht="12.95" customHeight="1">
      <c r="B693" t="s">
        <v>579</v>
      </c>
      <c r="G693" s="1380"/>
      <c r="H693" s="1380"/>
      <c r="I693" s="1380"/>
      <c r="J693" s="1380"/>
      <c r="K693" s="1380"/>
      <c r="L693" s="1380"/>
      <c r="M693" s="1380"/>
      <c r="N693" s="1380"/>
      <c r="O693" s="1380"/>
      <c r="P693" s="1380"/>
      <c r="Q693" s="1380"/>
      <c r="R693" s="1380"/>
      <c r="U693" t="s">
        <v>579</v>
      </c>
      <c r="Z693" s="1322"/>
      <c r="AA693" s="1322"/>
      <c r="AB693" s="1322"/>
      <c r="AC693" s="1322"/>
      <c r="AD693" s="1322"/>
      <c r="AE693" s="1322"/>
      <c r="AF693" s="1322"/>
      <c r="AG693" s="1322"/>
      <c r="AH693" s="1322"/>
      <c r="AI693" s="1322"/>
      <c r="AJ693" s="1322"/>
      <c r="AK693" s="1322"/>
      <c r="AZ693" s="3"/>
    </row>
    <row r="694" spans="1:52" ht="12.95" customHeight="1">
      <c r="B694" t="s">
        <v>17</v>
      </c>
      <c r="G694" s="1380"/>
      <c r="H694" s="1380"/>
      <c r="I694" s="1380"/>
      <c r="J694" s="1380"/>
      <c r="K694" s="1380"/>
      <c r="L694" s="1380"/>
      <c r="M694" s="1380"/>
      <c r="N694" s="1380"/>
      <c r="O694" s="1380"/>
      <c r="P694" s="1380"/>
      <c r="Q694" s="1380"/>
      <c r="R694" s="1380"/>
      <c r="U694" t="s">
        <v>17</v>
      </c>
      <c r="Z694" s="1322"/>
      <c r="AA694" s="1322"/>
      <c r="AB694" s="1322"/>
      <c r="AC694" s="1322"/>
      <c r="AD694" s="1322"/>
      <c r="AE694" s="1322"/>
      <c r="AF694" s="1322"/>
      <c r="AG694" s="1322"/>
      <c r="AH694" s="1322"/>
      <c r="AI694" s="1322"/>
      <c r="AJ694" s="1322"/>
      <c r="AK694" s="1322"/>
      <c r="AZ694" s="3"/>
    </row>
    <row r="695" spans="1:52" ht="12.95" customHeight="1">
      <c r="B695" t="s">
        <v>316</v>
      </c>
      <c r="G695" s="1430"/>
      <c r="H695" s="1430"/>
      <c r="I695" s="1430"/>
      <c r="J695" s="1430"/>
      <c r="K695" s="1430"/>
      <c r="L695" s="1430"/>
      <c r="O695" s="33" t="s">
        <v>206</v>
      </c>
      <c r="P695" s="1361"/>
      <c r="Q695" s="1361"/>
      <c r="R695" s="1361"/>
      <c r="U695" t="s">
        <v>316</v>
      </c>
      <c r="Z695" s="1430"/>
      <c r="AA695" s="1430"/>
      <c r="AB695" s="1430"/>
      <c r="AC695" s="1430"/>
      <c r="AD695" s="1430"/>
      <c r="AE695" s="1430"/>
      <c r="AH695" s="33" t="s">
        <v>206</v>
      </c>
      <c r="AI695" s="1361"/>
      <c r="AJ695" s="1361"/>
      <c r="AK695" s="1361"/>
      <c r="AZ695" s="3"/>
    </row>
    <row r="696" spans="1:52" ht="12.95" customHeight="1">
      <c r="B696" t="s">
        <v>18</v>
      </c>
      <c r="H696" s="1380"/>
      <c r="I696" s="1380"/>
      <c r="J696" s="1380"/>
      <c r="K696" s="1380"/>
      <c r="L696" s="1380"/>
      <c r="M696" s="1380"/>
      <c r="N696" s="1380"/>
      <c r="O696" s="1380"/>
      <c r="P696" s="1380"/>
      <c r="Q696" s="1380"/>
      <c r="R696" s="1380"/>
      <c r="U696" t="s">
        <v>18</v>
      </c>
      <c r="AA696" s="1380"/>
      <c r="AB696" s="1380"/>
      <c r="AC696" s="1380"/>
      <c r="AD696" s="1380"/>
      <c r="AE696" s="1380"/>
      <c r="AF696" s="1380"/>
      <c r="AG696" s="1380"/>
      <c r="AH696" s="1380"/>
      <c r="AI696" s="1380"/>
      <c r="AJ696" s="1380"/>
      <c r="AK696" s="1380"/>
      <c r="AZ696" s="3"/>
    </row>
    <row r="697" spans="1:52" ht="12.95" customHeight="1">
      <c r="B697" t="s">
        <v>20</v>
      </c>
      <c r="N697" s="1399" t="s">
        <v>668</v>
      </c>
      <c r="O697" s="1399"/>
      <c r="U697" t="s">
        <v>20</v>
      </c>
      <c r="AG697" s="1399" t="s">
        <v>668</v>
      </c>
      <c r="AH697" s="1399"/>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434</v>
      </c>
      <c r="F701" s="135"/>
      <c r="G701" s="135"/>
      <c r="H701" s="135"/>
      <c r="AE701" s="1399" t="s">
        <v>544</v>
      </c>
      <c r="AF701" s="1399"/>
      <c r="AZ701" s="3"/>
    </row>
    <row r="702" spans="1:52" ht="12.95" customHeight="1">
      <c r="B702" s="135"/>
      <c r="C702" s="135"/>
      <c r="D702" s="136" t="s">
        <v>437</v>
      </c>
      <c r="E702" s="135"/>
      <c r="F702" s="135"/>
      <c r="G702" s="135"/>
      <c r="H702" s="135"/>
      <c r="AE702" s="1399" t="s">
        <v>668</v>
      </c>
      <c r="AF702" s="1399"/>
      <c r="AZ702" s="3"/>
    </row>
    <row r="703" spans="1:52" ht="12.95" customHeight="1">
      <c r="B703" s="135"/>
      <c r="C703" s="135"/>
      <c r="D703" s="136" t="s">
        <v>918</v>
      </c>
      <c r="E703" s="135"/>
      <c r="F703" s="135"/>
      <c r="G703" s="135"/>
      <c r="H703" s="135"/>
      <c r="AE703" s="1469">
        <v>46161</v>
      </c>
      <c r="AF703" s="1469"/>
      <c r="AG703" s="1469"/>
      <c r="AH703" s="1469"/>
      <c r="AI703" s="1469"/>
    </row>
    <row r="704" spans="1:52" ht="12.95" customHeight="1">
      <c r="B704" s="135"/>
      <c r="C704" s="135"/>
      <c r="D704" s="317" t="s">
        <v>981</v>
      </c>
      <c r="E704" s="135"/>
      <c r="F704" s="135"/>
      <c r="G704" s="135"/>
      <c r="H704" s="135"/>
      <c r="AE704" s="1598">
        <v>46252</v>
      </c>
      <c r="AF704" s="1598"/>
      <c r="AG704" s="1598"/>
      <c r="AH704" s="1598"/>
      <c r="AI704" s="1598"/>
    </row>
    <row r="705" spans="1:110" ht="12.95" customHeight="1">
      <c r="B705" s="135"/>
      <c r="C705" s="135"/>
    </row>
    <row r="706" spans="1:110" ht="12.95" customHeight="1">
      <c r="B706" s="135"/>
      <c r="C706" s="135"/>
      <c r="D706" s="136" t="s">
        <v>815</v>
      </c>
      <c r="E706" s="135"/>
      <c r="F706" s="135"/>
      <c r="G706" s="135"/>
      <c r="H706" s="135"/>
      <c r="AE706" s="1469">
        <v>46419</v>
      </c>
      <c r="AF706" s="1469"/>
      <c r="AG706" s="1469"/>
      <c r="AH706" s="1469"/>
      <c r="AI706" s="1469"/>
    </row>
    <row r="707" spans="1:110" ht="12.95" customHeight="1">
      <c r="B707" s="135"/>
      <c r="C707" s="135"/>
      <c r="D707" s="136" t="s">
        <v>435</v>
      </c>
      <c r="E707" s="135"/>
      <c r="F707" s="135"/>
      <c r="G707" s="135"/>
      <c r="H707" s="135"/>
      <c r="AE707" s="1779">
        <v>0.27550000000000002</v>
      </c>
      <c r="AF707" s="1779"/>
      <c r="AG707" s="1779"/>
      <c r="AH707" s="1779"/>
      <c r="AI707" s="1779"/>
    </row>
    <row r="708" spans="1:110" ht="12.95" customHeight="1">
      <c r="B708" s="135"/>
      <c r="C708" s="135"/>
      <c r="D708" s="136" t="s">
        <v>436</v>
      </c>
      <c r="E708" s="135"/>
      <c r="F708" s="135"/>
      <c r="G708" s="135"/>
      <c r="H708" s="135"/>
      <c r="W708" s="1389" t="str">
        <f>H344</f>
        <v>California Municipal Finance Authority</v>
      </c>
      <c r="X708" s="1389"/>
      <c r="Y708" s="1389"/>
      <c r="Z708" s="1389"/>
      <c r="AA708" s="1389"/>
      <c r="AB708" s="1389"/>
      <c r="AC708" s="1389"/>
      <c r="AD708" s="1389"/>
      <c r="AE708" s="1389"/>
      <c r="AF708" s="1389"/>
      <c r="AG708" s="1389"/>
      <c r="AH708" s="1389"/>
      <c r="AI708" s="1389"/>
      <c r="AJ708" s="1389"/>
      <c r="AK708" s="138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9" t="s">
        <v>668</v>
      </c>
      <c r="AF710" s="1399"/>
    </row>
    <row r="711" spans="1:110" ht="12.95" customHeight="1">
      <c r="B711" s="135"/>
      <c r="C711" s="135"/>
      <c r="D711" s="136" t="s">
        <v>441</v>
      </c>
      <c r="E711" s="135"/>
      <c r="F711" s="135"/>
      <c r="G711" s="135"/>
      <c r="H711" s="135"/>
      <c r="W711" s="1380" t="s">
        <v>590</v>
      </c>
      <c r="X711" s="1380"/>
      <c r="Y711" s="1380"/>
      <c r="Z711" s="1380"/>
      <c r="AA711" s="1380"/>
      <c r="AB711" s="1380"/>
      <c r="AC711" s="1380"/>
      <c r="AD711" s="1380"/>
      <c r="AE711" s="1380"/>
      <c r="AF711" s="1380"/>
      <c r="AG711" s="1380"/>
      <c r="AH711" s="1380"/>
      <c r="AI711" s="1380"/>
      <c r="AJ711" s="1380"/>
      <c r="AK711" s="1380"/>
    </row>
    <row r="712" spans="1:110" ht="12.95" customHeight="1">
      <c r="B712" s="135"/>
      <c r="C712" s="135"/>
      <c r="D712" s="136" t="s">
        <v>87</v>
      </c>
      <c r="E712" s="135"/>
      <c r="F712" s="135"/>
      <c r="G712" s="135"/>
      <c r="H712" s="135"/>
      <c r="J712" s="1380"/>
      <c r="K712" s="1380"/>
      <c r="L712" s="1380"/>
      <c r="M712" s="1380"/>
      <c r="N712" s="1380"/>
      <c r="O712" s="1380"/>
      <c r="P712" s="1380"/>
      <c r="Q712" s="1380"/>
      <c r="R712" s="1380"/>
      <c r="S712" s="1380"/>
      <c r="T712" s="1380"/>
      <c r="U712" s="1380"/>
      <c r="V712" s="1380"/>
      <c r="W712" s="1380"/>
      <c r="X712" s="1380"/>
      <c r="BB712" s="34"/>
      <c r="BC712" s="34"/>
      <c r="BD712" s="34"/>
      <c r="BE712" s="3"/>
      <c r="BF712" s="3"/>
      <c r="BJ712" s="3"/>
      <c r="BK712" s="3"/>
      <c r="BL712" s="3"/>
      <c r="BM712" s="3"/>
      <c r="BN712" s="34"/>
      <c r="BO712" s="34"/>
    </row>
    <row r="713" spans="1:110" ht="12.95" customHeight="1">
      <c r="B713" s="135"/>
      <c r="C713" s="135"/>
      <c r="D713" s="136" t="s">
        <v>88</v>
      </c>
      <c r="J713" s="1430"/>
      <c r="K713" s="1430"/>
      <c r="L713" s="1430"/>
      <c r="M713" s="1430"/>
      <c r="N713" s="1430"/>
      <c r="O713" s="1430"/>
      <c r="P713" s="4" t="s">
        <v>206</v>
      </c>
      <c r="Q713" s="4"/>
      <c r="R713" s="1361"/>
      <c r="S713" s="1361"/>
      <c r="T713" s="136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80" t="s">
        <v>307</v>
      </c>
      <c r="X714" s="1380"/>
      <c r="Y714" s="1380"/>
      <c r="Z714" s="1380"/>
      <c r="AA714" s="1380"/>
      <c r="AB714" s="1380"/>
      <c r="AC714" s="1380"/>
      <c r="AD714" s="1380"/>
      <c r="AE714" s="1380"/>
      <c r="AF714" s="1380"/>
      <c r="AG714" s="1380"/>
      <c r="AH714" s="1380"/>
      <c r="AI714" s="1380"/>
      <c r="AJ714" s="1380"/>
      <c r="AK714" s="138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80" t="s">
        <v>334</v>
      </c>
      <c r="F715" s="1380"/>
      <c r="G715" s="1380"/>
      <c r="H715" s="1380"/>
      <c r="I715" s="1380"/>
      <c r="J715" s="1380"/>
      <c r="K715" s="1380"/>
      <c r="L715" s="1380"/>
      <c r="M715" s="1380"/>
      <c r="N715" s="1380"/>
      <c r="O715" s="1380"/>
      <c r="P715" s="1380"/>
      <c r="Q715" s="1380"/>
      <c r="R715" s="1380"/>
      <c r="S715" s="1380"/>
      <c r="T715" s="1380"/>
      <c r="U715" s="1380"/>
      <c r="V715" s="1380"/>
      <c r="W715" s="1380"/>
      <c r="X715" s="1380"/>
      <c r="Y715" s="1380"/>
      <c r="Z715" s="1380"/>
      <c r="AA715" s="1380"/>
      <c r="AB715" s="1380"/>
      <c r="AC715" s="1380"/>
      <c r="AD715" s="1380"/>
      <c r="AE715" s="1380"/>
      <c r="AF715" s="1380"/>
      <c r="AG715" s="1380"/>
      <c r="AH715" s="1380"/>
      <c r="AI715" s="1380"/>
      <c r="AJ715" s="1380"/>
      <c r="AK715" s="138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00" t="s">
        <v>95</v>
      </c>
      <c r="B717" s="1400"/>
      <c r="C717" s="1400"/>
      <c r="D717" s="1400"/>
      <c r="E717" s="1400"/>
      <c r="F717" s="1400"/>
      <c r="G717" s="1400"/>
      <c r="H717" s="1400"/>
      <c r="I717" s="1400"/>
      <c r="J717" s="1400"/>
      <c r="K717" s="1400"/>
      <c r="L717" s="1400"/>
      <c r="M717" s="1400"/>
      <c r="N717" s="1400"/>
      <c r="O717" s="1400"/>
      <c r="P717" s="1400"/>
      <c r="Q717" s="1400"/>
      <c r="R717" s="1400"/>
      <c r="S717" s="1400"/>
      <c r="T717" s="1400"/>
      <c r="U717" s="1400"/>
      <c r="V717" s="1400"/>
      <c r="W717" s="1400"/>
      <c r="X717" s="1400"/>
      <c r="Y717" s="1400"/>
      <c r="Z717" s="1400"/>
      <c r="AA717" s="1400"/>
      <c r="AB717" s="1400"/>
      <c r="AC717" s="1400"/>
      <c r="AD717" s="1400"/>
      <c r="AE717" s="1400"/>
      <c r="AF717" s="1400"/>
      <c r="AG717" s="1400"/>
      <c r="AH717" s="1400"/>
      <c r="AI717" s="1400"/>
      <c r="AJ717" s="1400"/>
      <c r="AK717" s="1400"/>
      <c r="AL717" s="1400"/>
      <c r="AM717" s="1400"/>
      <c r="AN717" s="1400"/>
      <c r="AO717" s="1400"/>
      <c r="AP717" s="1400"/>
      <c r="AQ717" s="1400"/>
      <c r="AR717" s="1400"/>
      <c r="AS717" s="1400"/>
      <c r="AT717" s="1400"/>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00"/>
      <c r="B718" s="1400"/>
      <c r="C718" s="1400"/>
      <c r="D718" s="1400"/>
      <c r="E718" s="1400"/>
      <c r="F718" s="1400"/>
      <c r="G718" s="1400"/>
      <c r="H718" s="1400"/>
      <c r="I718" s="1400"/>
      <c r="J718" s="1400"/>
      <c r="K718" s="1400"/>
      <c r="L718" s="1400"/>
      <c r="M718" s="1400"/>
      <c r="N718" s="1400"/>
      <c r="O718" s="1400"/>
      <c r="P718" s="1400"/>
      <c r="Q718" s="1400"/>
      <c r="R718" s="1400"/>
      <c r="S718" s="1400"/>
      <c r="T718" s="1400"/>
      <c r="U718" s="1400"/>
      <c r="V718" s="1400"/>
      <c r="W718" s="1400"/>
      <c r="X718" s="1400"/>
      <c r="Y718" s="1400"/>
      <c r="Z718" s="1400"/>
      <c r="AA718" s="1400"/>
      <c r="AB718" s="1400"/>
      <c r="AC718" s="1400"/>
      <c r="AD718" s="1400"/>
      <c r="AE718" s="1400"/>
      <c r="AF718" s="1400"/>
      <c r="AG718" s="1400"/>
      <c r="AH718" s="1400"/>
      <c r="AI718" s="1400"/>
      <c r="AJ718" s="1400"/>
      <c r="AK718" s="1400"/>
      <c r="AL718" s="1400"/>
      <c r="AM718" s="1400"/>
      <c r="AN718" s="1400"/>
      <c r="AO718" s="1400"/>
      <c r="AP718" s="1400"/>
      <c r="AQ718" s="1400"/>
      <c r="AR718" s="1400"/>
      <c r="AS718" s="1400"/>
      <c r="AT718" s="1400"/>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00"/>
      <c r="B719" s="1400"/>
      <c r="C719" s="1400"/>
      <c r="D719" s="1400"/>
      <c r="E719" s="1400"/>
      <c r="F719" s="1400"/>
      <c r="G719" s="1400"/>
      <c r="H719" s="1400"/>
      <c r="I719" s="1400"/>
      <c r="J719" s="1400"/>
      <c r="K719" s="1400"/>
      <c r="L719" s="1400"/>
      <c r="M719" s="1400"/>
      <c r="N719" s="1400"/>
      <c r="O719" s="1400"/>
      <c r="P719" s="1400"/>
      <c r="Q719" s="1400"/>
      <c r="R719" s="1400"/>
      <c r="S719" s="1400"/>
      <c r="T719" s="1400"/>
      <c r="U719" s="1400"/>
      <c r="V719" s="1400"/>
      <c r="W719" s="1400"/>
      <c r="X719" s="1400"/>
      <c r="Y719" s="1400"/>
      <c r="Z719" s="1400"/>
      <c r="AA719" s="1400"/>
      <c r="AB719" s="1400"/>
      <c r="AC719" s="1400"/>
      <c r="AD719" s="1400"/>
      <c r="AE719" s="1400"/>
      <c r="AF719" s="1400"/>
      <c r="AG719" s="1400"/>
      <c r="AH719" s="1400"/>
      <c r="AI719" s="1400"/>
      <c r="AJ719" s="1400"/>
      <c r="AK719" s="1400"/>
      <c r="AL719" s="1400"/>
      <c r="AM719" s="1400"/>
      <c r="AN719" s="1400"/>
      <c r="AO719" s="1400"/>
      <c r="AP719" s="1400"/>
      <c r="AQ719" s="1400"/>
      <c r="AR719" s="1400"/>
      <c r="AS719" s="1400"/>
      <c r="AT719" s="140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9" t="s">
        <v>389</v>
      </c>
      <c r="C722" s="1391"/>
      <c r="D722" s="1391"/>
      <c r="E722" s="1391"/>
      <c r="F722" s="1392"/>
      <c r="G722" s="1529" t="s">
        <v>285</v>
      </c>
      <c r="H722" s="1391"/>
      <c r="I722" s="1391"/>
      <c r="J722" s="1392"/>
      <c r="K722" s="1530" t="s">
        <v>1666</v>
      </c>
      <c r="L722" s="1531"/>
      <c r="M722" s="1531"/>
      <c r="N722" s="1532"/>
      <c r="O722" s="1529" t="s">
        <v>446</v>
      </c>
      <c r="P722" s="1391"/>
      <c r="Q722" s="1391"/>
      <c r="R722" s="1391"/>
      <c r="S722" s="1392"/>
      <c r="T722" s="1390" t="s">
        <v>1920</v>
      </c>
      <c r="U722" s="1391"/>
      <c r="V722" s="1391"/>
      <c r="W722" s="1392"/>
      <c r="X722" s="1390" t="s">
        <v>1922</v>
      </c>
      <c r="Y722" s="1391"/>
      <c r="Z722" s="1391"/>
      <c r="AA722" s="1391"/>
      <c r="AB722" s="1392"/>
      <c r="AC722" s="1390" t="s">
        <v>1921</v>
      </c>
      <c r="AD722" s="1391"/>
      <c r="AE722" s="1391"/>
      <c r="AF722" s="1391"/>
      <c r="AG722" s="1392"/>
      <c r="AH722" s="1390" t="s">
        <v>1923</v>
      </c>
      <c r="AI722" s="1391"/>
      <c r="AJ722" s="1392"/>
      <c r="AK722" s="1390" t="s">
        <v>1950</v>
      </c>
      <c r="AL722" s="1391"/>
      <c r="AM722" s="1391"/>
      <c r="AN722" s="1391"/>
      <c r="AO722" s="139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93"/>
      <c r="C723" s="1394"/>
      <c r="D723" s="1394"/>
      <c r="E723" s="1394"/>
      <c r="F723" s="1395"/>
      <c r="G723" s="1393"/>
      <c r="H723" s="1394"/>
      <c r="I723" s="1394"/>
      <c r="J723" s="1395"/>
      <c r="K723" s="1533"/>
      <c r="L723" s="1534"/>
      <c r="M723" s="1534"/>
      <c r="N723" s="1535"/>
      <c r="O723" s="1393"/>
      <c r="P723" s="1394"/>
      <c r="Q723" s="1394"/>
      <c r="R723" s="1394"/>
      <c r="S723" s="1395"/>
      <c r="T723" s="1393"/>
      <c r="U723" s="1394"/>
      <c r="V723" s="1394"/>
      <c r="W723" s="1395"/>
      <c r="X723" s="1393"/>
      <c r="Y723" s="1394"/>
      <c r="Z723" s="1394"/>
      <c r="AA723" s="1394"/>
      <c r="AB723" s="1395"/>
      <c r="AC723" s="1393"/>
      <c r="AD723" s="1394"/>
      <c r="AE723" s="1394"/>
      <c r="AF723" s="1394"/>
      <c r="AG723" s="1395"/>
      <c r="AH723" s="1393"/>
      <c r="AI723" s="1394"/>
      <c r="AJ723" s="1395"/>
      <c r="AK723" s="1393"/>
      <c r="AL723" s="1394"/>
      <c r="AM723" s="1394"/>
      <c r="AN723" s="1394"/>
      <c r="AO723" s="139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93"/>
      <c r="C724" s="1394"/>
      <c r="D724" s="1394"/>
      <c r="E724" s="1394"/>
      <c r="F724" s="1395"/>
      <c r="G724" s="1393"/>
      <c r="H724" s="1394"/>
      <c r="I724" s="1394"/>
      <c r="J724" s="1395"/>
      <c r="K724" s="1533"/>
      <c r="L724" s="1534"/>
      <c r="M724" s="1534"/>
      <c r="N724" s="1535"/>
      <c r="O724" s="1393"/>
      <c r="P724" s="1394"/>
      <c r="Q724" s="1394"/>
      <c r="R724" s="1394"/>
      <c r="S724" s="1395"/>
      <c r="T724" s="1393"/>
      <c r="U724" s="1394"/>
      <c r="V724" s="1394"/>
      <c r="W724" s="1395"/>
      <c r="X724" s="1393"/>
      <c r="Y724" s="1394"/>
      <c r="Z724" s="1394"/>
      <c r="AA724" s="1394"/>
      <c r="AB724" s="1395"/>
      <c r="AC724" s="1393"/>
      <c r="AD724" s="1394"/>
      <c r="AE724" s="1394"/>
      <c r="AF724" s="1394"/>
      <c r="AG724" s="1395"/>
      <c r="AH724" s="1393"/>
      <c r="AI724" s="1394"/>
      <c r="AJ724" s="1395"/>
      <c r="AK724" s="1393"/>
      <c r="AL724" s="1394"/>
      <c r="AM724" s="1394"/>
      <c r="AN724" s="1394"/>
      <c r="AO724" s="1395"/>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6"/>
      <c r="C725" s="1397"/>
      <c r="D725" s="1397"/>
      <c r="E725" s="1397"/>
      <c r="F725" s="1398"/>
      <c r="G725" s="1396"/>
      <c r="H725" s="1397"/>
      <c r="I725" s="1397"/>
      <c r="J725" s="1398"/>
      <c r="K725" s="1533"/>
      <c r="L725" s="1534"/>
      <c r="M725" s="1534"/>
      <c r="N725" s="1535"/>
      <c r="O725" s="1396"/>
      <c r="P725" s="1397"/>
      <c r="Q725" s="1397"/>
      <c r="R725" s="1397"/>
      <c r="S725" s="1398"/>
      <c r="T725" s="1396"/>
      <c r="U725" s="1397"/>
      <c r="V725" s="1397"/>
      <c r="W725" s="1398"/>
      <c r="X725" s="1396"/>
      <c r="Y725" s="1397"/>
      <c r="Z725" s="1397"/>
      <c r="AA725" s="1397"/>
      <c r="AB725" s="1398"/>
      <c r="AC725" s="1396"/>
      <c r="AD725" s="1397"/>
      <c r="AE725" s="1397"/>
      <c r="AF725" s="1397"/>
      <c r="AG725" s="1398"/>
      <c r="AH725" s="1396"/>
      <c r="AI725" s="1397"/>
      <c r="AJ725" s="1398"/>
      <c r="AK725" s="1396"/>
      <c r="AL725" s="1397"/>
      <c r="AM725" s="1397"/>
      <c r="AN725" s="1397"/>
      <c r="AO725" s="1398"/>
      <c r="AP725" s="3"/>
      <c r="AQ725" s="3"/>
      <c r="AR725" s="3"/>
      <c r="AS725" s="3"/>
      <c r="AZ725" s="166" t="s">
        <v>648</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274"/>
      <c r="CJ725" s="1276"/>
      <c r="CK725" s="121" t="s">
        <v>474</v>
      </c>
      <c r="CL725" s="122"/>
      <c r="CM725" s="1274"/>
      <c r="CN725" s="1276"/>
      <c r="CO725" s="3"/>
      <c r="CP725" s="1605" t="s">
        <v>632</v>
      </c>
      <c r="CQ725" s="1606"/>
      <c r="CR725" s="1606"/>
      <c r="CS725" s="1606"/>
      <c r="CT725" s="1607"/>
      <c r="CU725" s="1311" t="s">
        <v>325</v>
      </c>
      <c r="CV725" s="1311"/>
      <c r="CW725" s="1311"/>
      <c r="CX725" s="1311"/>
      <c r="CY725" s="1311"/>
      <c r="CZ725" s="1311" t="s">
        <v>163</v>
      </c>
      <c r="DA725" s="1311"/>
      <c r="DB725" s="1311"/>
      <c r="DC725" s="1311"/>
      <c r="DD725" s="1311"/>
      <c r="DE725" s="1311" t="s">
        <v>164</v>
      </c>
      <c r="DF725" s="1311"/>
      <c r="DG725" s="1311"/>
      <c r="DH725" s="1311"/>
      <c r="DI725" s="1311"/>
      <c r="DJ725" s="1311" t="s">
        <v>459</v>
      </c>
      <c r="DK725" s="1311"/>
      <c r="DL725" s="1311"/>
      <c r="DM725" s="1311"/>
      <c r="DN725" s="1311"/>
      <c r="DO725" s="1311" t="s">
        <v>30</v>
      </c>
      <c r="DP725" s="1311"/>
      <c r="DQ725" s="1311"/>
      <c r="DR725" s="1311"/>
      <c r="DS725" s="1311"/>
      <c r="DT725" s="89"/>
      <c r="DU725" s="1311" t="s">
        <v>632</v>
      </c>
      <c r="DV725" s="1311"/>
      <c r="DW725" s="1311"/>
      <c r="DX725" s="1311"/>
      <c r="DY725" s="1311"/>
      <c r="DZ725" s="1311" t="s">
        <v>325</v>
      </c>
      <c r="EA725" s="1311"/>
      <c r="EB725" s="1311"/>
      <c r="EC725" s="1311"/>
      <c r="ED725" s="1311"/>
      <c r="EE725" s="1311" t="s">
        <v>163</v>
      </c>
      <c r="EF725" s="1311"/>
      <c r="EG725" s="1311"/>
      <c r="EH725" s="1311"/>
      <c r="EI725" s="1311"/>
      <c r="EJ725" s="1311" t="s">
        <v>164</v>
      </c>
      <c r="EK725" s="1311"/>
      <c r="EL725" s="1311"/>
      <c r="EM725" s="1311"/>
      <c r="EN725" s="1311"/>
      <c r="EO725" s="1311" t="s">
        <v>459</v>
      </c>
      <c r="EP725" s="1311"/>
      <c r="EQ725" s="1311"/>
      <c r="ER725" s="1311"/>
      <c r="ES725" s="1311"/>
      <c r="ET725" s="1311" t="s">
        <v>30</v>
      </c>
      <c r="EU725" s="1311"/>
      <c r="EV725" s="1311"/>
      <c r="EW725" s="1311"/>
      <c r="EX725" s="1311"/>
      <c r="EY725" s="4"/>
      <c r="EZ725" s="1311" t="s">
        <v>632</v>
      </c>
      <c r="FA725" s="1311"/>
      <c r="FB725" s="1311"/>
      <c r="FC725" s="1311"/>
      <c r="FD725" s="1311"/>
      <c r="FE725" s="1311" t="s">
        <v>325</v>
      </c>
      <c r="FF725" s="1311"/>
      <c r="FG725" s="1311"/>
      <c r="FH725" s="1311"/>
      <c r="FI725" s="1311"/>
      <c r="FJ725" s="1311" t="s">
        <v>163</v>
      </c>
      <c r="FK725" s="1311"/>
      <c r="FL725" s="1311"/>
      <c r="FM725" s="1311"/>
      <c r="FN725" s="1311"/>
      <c r="FO725" s="1311" t="s">
        <v>164</v>
      </c>
      <c r="FP725" s="1311"/>
      <c r="FQ725" s="1311"/>
      <c r="FR725" s="1311"/>
      <c r="FS725" s="1311"/>
      <c r="FT725" s="1311" t="s">
        <v>459</v>
      </c>
      <c r="FU725" s="1311"/>
      <c r="FV725" s="1311"/>
      <c r="FW725" s="1311"/>
      <c r="FX725" s="1311"/>
      <c r="FY725" s="1311" t="s">
        <v>30</v>
      </c>
      <c r="FZ725" s="1311"/>
      <c r="GA725" s="1311"/>
      <c r="GB725" s="1311"/>
      <c r="GC725" s="1311"/>
    </row>
    <row r="726" spans="1:185" ht="12.95" customHeight="1">
      <c r="A726" s="4"/>
      <c r="B726" s="1289" t="s">
        <v>325</v>
      </c>
      <c r="C726" s="1290"/>
      <c r="D726" s="1290"/>
      <c r="E726" s="1290"/>
      <c r="F726" s="1291"/>
      <c r="G726" s="1298">
        <v>16</v>
      </c>
      <c r="H726" s="1299"/>
      <c r="I726" s="1299"/>
      <c r="J726" s="1300"/>
      <c r="K726" s="1539">
        <v>558</v>
      </c>
      <c r="L726" s="1540"/>
      <c r="M726" s="1540"/>
      <c r="N726" s="1541"/>
      <c r="O726" s="1305">
        <v>776</v>
      </c>
      <c r="P726" s="1306"/>
      <c r="Q726" s="1306"/>
      <c r="R726" s="1306"/>
      <c r="S726" s="1307"/>
      <c r="T726" s="1305">
        <v>76</v>
      </c>
      <c r="U726" s="1306"/>
      <c r="V726" s="1306"/>
      <c r="W726" s="1307"/>
      <c r="X726" s="1292">
        <f t="shared" ref="X726:X749" si="10">O726+T726</f>
        <v>852</v>
      </c>
      <c r="Y726" s="1293"/>
      <c r="Z726" s="1293"/>
      <c r="AA726" s="1293"/>
      <c r="AB726" s="1294"/>
      <c r="AC726" s="1302">
        <v>0.3</v>
      </c>
      <c r="AD726" s="1303"/>
      <c r="AE726" s="1303"/>
      <c r="AF726" s="1303"/>
      <c r="AG726" s="1304"/>
      <c r="AH726" s="1295">
        <f>IF($AC726&gt;0,($X726/$AZ726), "")</f>
        <v>0.3</v>
      </c>
      <c r="AI726" s="1296"/>
      <c r="AJ726" s="1297"/>
      <c r="AK726" s="1289" t="s">
        <v>590</v>
      </c>
      <c r="AL726" s="1290"/>
      <c r="AM726" s="1290"/>
      <c r="AN726" s="1290"/>
      <c r="AO726" s="1291"/>
      <c r="AP726" s="3"/>
      <c r="AQ726" s="3"/>
      <c r="AR726" s="3"/>
      <c r="AS726" s="3"/>
      <c r="AZ726" s="118">
        <f t="shared" ref="AZ726:AZ760" si="11">IF($G726=0,"N/A",VLOOKUP($T$189,TC_Rent,(MATCH($B726,bedrooms,FALSE)),FALSE))</f>
        <v>2840</v>
      </c>
      <c r="BA726" s="3"/>
      <c r="BB726" s="3"/>
      <c r="BC726" s="3"/>
      <c r="BD726" s="3"/>
      <c r="BE726" s="204"/>
      <c r="BF726" s="293">
        <f t="shared" ref="BF726:BF760" si="12">G726</f>
        <v>16</v>
      </c>
      <c r="BG726" s="297">
        <f t="shared" ref="BG726:BG760" si="13">IF($BF$761=0,0,BF726/$BF$761)</f>
        <v>0.10457516339869281</v>
      </c>
      <c r="BH726" s="298">
        <f t="shared" ref="BH726:BH760" si="14">IF(BG726=0,"",BG726*AC726)</f>
        <v>3.1372549019607843E-2</v>
      </c>
      <c r="BI726" s="3"/>
      <c r="BJ726" s="3"/>
      <c r="BK726" s="3"/>
      <c r="BL726" s="3"/>
      <c r="BM726" s="3"/>
      <c r="BN726" s="3"/>
      <c r="BS726" s="293">
        <f t="shared" ref="BS726:BS760" si="15">G726</f>
        <v>16</v>
      </c>
      <c r="BT726" s="297">
        <f t="shared" ref="BT726:BT760" si="16">IF($BS$761=0,0,BS726/$BS$761)</f>
        <v>0.10457516339869281</v>
      </c>
      <c r="BU726" s="298">
        <f t="shared" ref="BU726:BU760" si="17">IF(BT726=0,"",BT726*AH726)</f>
        <v>3.1372549019607843E-2</v>
      </c>
      <c r="CC726" s="3"/>
      <c r="CD726" s="3"/>
      <c r="CE726" s="3"/>
      <c r="CF726" s="3"/>
      <c r="CG726" s="1285">
        <f>IF(AND(AC726&lt;=0.5,AC726&gt;=0.36),1,0)</f>
        <v>0</v>
      </c>
      <c r="CH726" s="1287"/>
      <c r="CI726" s="1274">
        <f>IF(CG726=1,G726,0)</f>
        <v>0</v>
      </c>
      <c r="CJ726" s="1276"/>
      <c r="CK726" s="1285">
        <f t="shared" ref="CK726:CK760" si="18">IF(AND(AC726&lt;=0.35,AC726&gt;0),1,0)</f>
        <v>1</v>
      </c>
      <c r="CL726" s="1287"/>
      <c r="CM726" s="1274">
        <f t="shared" ref="CM726:CM760" si="19">IF(CK726=1,G726,0)</f>
        <v>16</v>
      </c>
      <c r="CN726" s="1276"/>
      <c r="CO726" s="3"/>
      <c r="CP726" s="1268">
        <f t="shared" ref="CP726:CP760" si="20">IF(B726="SRO/Studio",G726,0)</f>
        <v>0</v>
      </c>
      <c r="CQ726" s="1269"/>
      <c r="CR726" s="1269"/>
      <c r="CS726" s="1269"/>
      <c r="CT726" s="1270"/>
      <c r="CU726" s="1288">
        <f t="shared" ref="CU726:CU760" si="21">IF(B726="1 Bedroom",G726,0)</f>
        <v>16</v>
      </c>
      <c r="CV726" s="1288"/>
      <c r="CW726" s="1288"/>
      <c r="CX726" s="1288"/>
      <c r="CY726" s="1288"/>
      <c r="CZ726" s="1288">
        <f t="shared" ref="CZ726:CZ760" si="22">IF(B726="2 Bedrooms",G726,0)</f>
        <v>0</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308">
        <f t="shared" ref="DU726:DU760" si="26">IF(AND(B726="SRO/Studio",AC726&lt;=0.3),G726,0)</f>
        <v>0</v>
      </c>
      <c r="DV726" s="1308"/>
      <c r="DW726" s="1308"/>
      <c r="DX726" s="1308"/>
      <c r="DY726" s="1308"/>
      <c r="DZ726" s="1308">
        <f t="shared" ref="DZ726:DZ760" si="27">IF(AND(B726="1 Bedroom",AC726&lt;=0.3),G726,0)</f>
        <v>16</v>
      </c>
      <c r="EA726" s="1308"/>
      <c r="EB726" s="1308"/>
      <c r="EC726" s="1308"/>
      <c r="ED726" s="1308"/>
      <c r="EE726" s="1308">
        <f t="shared" ref="EE726:EE760" si="28">IF(AND(B726="2 Bedrooms",AC726&lt;=0.3),G726,0)</f>
        <v>0</v>
      </c>
      <c r="EF726" s="1308"/>
      <c r="EG726" s="1308"/>
      <c r="EH726" s="1308"/>
      <c r="EI726" s="1308"/>
      <c r="EJ726" s="1308">
        <f t="shared" ref="EJ726:EJ760" si="29">IF(AND(B726="3 Bedrooms",AC726&lt;=0.3),G726,0)</f>
        <v>0</v>
      </c>
      <c r="EK726" s="1308"/>
      <c r="EL726" s="1308"/>
      <c r="EM726" s="1308"/>
      <c r="EN726" s="1308"/>
      <c r="EO726" s="1308">
        <f t="shared" ref="EO726:EO760" si="30">IF(AND(B726="4 Bedrooms",AC726&lt;=0.3),G726,0)</f>
        <v>0</v>
      </c>
      <c r="EP726" s="1308"/>
      <c r="EQ726" s="1308"/>
      <c r="ER726" s="1308"/>
      <c r="ES726" s="1308"/>
      <c r="ET726" s="1308">
        <f t="shared" ref="ET726:ET760" si="31">IF(AND(B726="5 Bedrooms",AC726&lt;=0.3),G726,0)</f>
        <v>0</v>
      </c>
      <c r="EU726" s="1308"/>
      <c r="EV726" s="1308"/>
      <c r="EW726" s="1308"/>
      <c r="EX726" s="1308"/>
      <c r="EY726" s="4"/>
      <c r="EZ726" s="1285" t="str">
        <f t="shared" ref="EZ726:EZ760" si="32">IF(CP726&gt;0,O726,"")</f>
        <v/>
      </c>
      <c r="FA726" s="1286"/>
      <c r="FB726" s="1286"/>
      <c r="FC726" s="1286"/>
      <c r="FD726" s="1287"/>
      <c r="FE726" s="1285">
        <f t="shared" ref="FE726:FE760" si="33">IF(CU726&gt;0,O726,"")</f>
        <v>776</v>
      </c>
      <c r="FF726" s="1286"/>
      <c r="FG726" s="1286"/>
      <c r="FH726" s="1286"/>
      <c r="FI726" s="1287"/>
      <c r="FJ726" s="1285" t="str">
        <f t="shared" ref="FJ726:FJ760" si="34">IF(CZ726&gt;0,O726,"")</f>
        <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2.95" customHeight="1">
      <c r="A727" s="4"/>
      <c r="B727" s="1289" t="s">
        <v>325</v>
      </c>
      <c r="C727" s="1290"/>
      <c r="D727" s="1290"/>
      <c r="E727" s="1290"/>
      <c r="F727" s="1291"/>
      <c r="G727" s="1298">
        <v>7</v>
      </c>
      <c r="H727" s="1299"/>
      <c r="I727" s="1299"/>
      <c r="J727" s="1300"/>
      <c r="K727" s="1539">
        <f>K726</f>
        <v>558</v>
      </c>
      <c r="L727" s="1540"/>
      <c r="M727" s="1540"/>
      <c r="N727" s="1541"/>
      <c r="O727" s="1305">
        <v>1344</v>
      </c>
      <c r="P727" s="1306"/>
      <c r="Q727" s="1306"/>
      <c r="R727" s="1306"/>
      <c r="S727" s="1307"/>
      <c r="T727" s="1305">
        <v>76</v>
      </c>
      <c r="U727" s="1306"/>
      <c r="V727" s="1306"/>
      <c r="W727" s="1307"/>
      <c r="X727" s="1292">
        <f t="shared" si="10"/>
        <v>1420</v>
      </c>
      <c r="Y727" s="1293"/>
      <c r="Z727" s="1293"/>
      <c r="AA727" s="1293"/>
      <c r="AB727" s="1294"/>
      <c r="AC727" s="1302">
        <v>0.5</v>
      </c>
      <c r="AD727" s="1303"/>
      <c r="AE727" s="1303"/>
      <c r="AF727" s="1303"/>
      <c r="AG727" s="1304"/>
      <c r="AH727" s="1295">
        <f t="shared" ref="AH727:AH760" si="38">IF($AC727&gt;0,($X727/$AZ727), "")</f>
        <v>0.5</v>
      </c>
      <c r="AI727" s="1296"/>
      <c r="AJ727" s="1297"/>
      <c r="AK727" s="1289" t="s">
        <v>590</v>
      </c>
      <c r="AL727" s="1290"/>
      <c r="AM727" s="1290"/>
      <c r="AN727" s="1290"/>
      <c r="AO727" s="1291"/>
      <c r="AP727" s="3"/>
      <c r="AQ727" s="3"/>
      <c r="AR727" s="3"/>
      <c r="AS727" s="3"/>
      <c r="AZ727" s="118">
        <f t="shared" si="11"/>
        <v>2840</v>
      </c>
      <c r="BA727" s="3"/>
      <c r="BB727" s="3"/>
      <c r="BC727" s="3"/>
      <c r="BD727" s="3"/>
      <c r="BE727" s="204"/>
      <c r="BF727" s="294">
        <f t="shared" si="12"/>
        <v>7</v>
      </c>
      <c r="BG727" s="297">
        <f t="shared" si="13"/>
        <v>4.5751633986928102E-2</v>
      </c>
      <c r="BH727" s="298">
        <f t="shared" si="14"/>
        <v>2.2875816993464051E-2</v>
      </c>
      <c r="BI727" s="3"/>
      <c r="BJ727" s="3"/>
      <c r="BK727" s="3"/>
      <c r="BL727" s="3"/>
      <c r="BM727" s="3"/>
      <c r="BN727" s="3"/>
      <c r="BS727" s="294">
        <f t="shared" si="15"/>
        <v>7</v>
      </c>
      <c r="BT727" s="297">
        <f t="shared" si="16"/>
        <v>4.5751633986928102E-2</v>
      </c>
      <c r="BU727" s="298">
        <f t="shared" si="17"/>
        <v>2.2875816993464051E-2</v>
      </c>
      <c r="CC727" s="3"/>
      <c r="CD727" s="3"/>
      <c r="CE727" s="3"/>
      <c r="CF727" s="3"/>
      <c r="CG727" s="1285">
        <f t="shared" ref="CG727:CG760" si="39">IF(AND(AC727&lt;=0.5,AC727&gt;=0.36),1,0)</f>
        <v>1</v>
      </c>
      <c r="CH727" s="1287"/>
      <c r="CI727" s="1274">
        <f t="shared" ref="CI727:CI760" si="40">IF(CG727=1,G727,0)</f>
        <v>7</v>
      </c>
      <c r="CJ727" s="1276"/>
      <c r="CK727" s="1285">
        <f t="shared" si="18"/>
        <v>0</v>
      </c>
      <c r="CL727" s="1287"/>
      <c r="CM727" s="1274">
        <f t="shared" si="19"/>
        <v>0</v>
      </c>
      <c r="CN727" s="1276"/>
      <c r="CO727" s="3"/>
      <c r="CP727" s="1268">
        <f t="shared" si="20"/>
        <v>0</v>
      </c>
      <c r="CQ727" s="1269"/>
      <c r="CR727" s="1269"/>
      <c r="CS727" s="1269"/>
      <c r="CT727" s="1270"/>
      <c r="CU727" s="1288">
        <f t="shared" si="21"/>
        <v>7</v>
      </c>
      <c r="CV727" s="1288"/>
      <c r="CW727" s="1288"/>
      <c r="CX727" s="1288"/>
      <c r="CY727" s="1288"/>
      <c r="CZ727" s="1288">
        <f t="shared" si="22"/>
        <v>0</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308">
        <f t="shared" si="26"/>
        <v>0</v>
      </c>
      <c r="DV727" s="1308"/>
      <c r="DW727" s="1308"/>
      <c r="DX727" s="1308"/>
      <c r="DY727" s="1308"/>
      <c r="DZ727" s="1308">
        <f t="shared" si="27"/>
        <v>0</v>
      </c>
      <c r="EA727" s="1308"/>
      <c r="EB727" s="1308"/>
      <c r="EC727" s="1308"/>
      <c r="ED727" s="1308"/>
      <c r="EE727" s="1308">
        <f t="shared" si="28"/>
        <v>0</v>
      </c>
      <c r="EF727" s="1308"/>
      <c r="EG727" s="1308"/>
      <c r="EH727" s="1308"/>
      <c r="EI727" s="1308"/>
      <c r="EJ727" s="1308">
        <f t="shared" si="29"/>
        <v>0</v>
      </c>
      <c r="EK727" s="1308"/>
      <c r="EL727" s="1308"/>
      <c r="EM727" s="1308"/>
      <c r="EN727" s="1308"/>
      <c r="EO727" s="1308">
        <f t="shared" si="30"/>
        <v>0</v>
      </c>
      <c r="EP727" s="1308"/>
      <c r="EQ727" s="1308"/>
      <c r="ER727" s="1308"/>
      <c r="ES727" s="1308"/>
      <c r="ET727" s="1308">
        <f t="shared" si="31"/>
        <v>0</v>
      </c>
      <c r="EU727" s="1308"/>
      <c r="EV727" s="1308"/>
      <c r="EW727" s="1308"/>
      <c r="EX727" s="1308"/>
      <c r="EY727" s="4"/>
      <c r="EZ727" s="1285" t="str">
        <f t="shared" si="32"/>
        <v/>
      </c>
      <c r="FA727" s="1286"/>
      <c r="FB727" s="1286"/>
      <c r="FC727" s="1286"/>
      <c r="FD727" s="1287"/>
      <c r="FE727" s="1285">
        <f t="shared" si="33"/>
        <v>1344</v>
      </c>
      <c r="FF727" s="1286"/>
      <c r="FG727" s="1286"/>
      <c r="FH727" s="1286"/>
      <c r="FI727" s="1287"/>
      <c r="FJ727" s="1285" t="str">
        <f t="shared" si="34"/>
        <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2.95" customHeight="1">
      <c r="A728" s="4"/>
      <c r="B728" s="1289" t="s">
        <v>325</v>
      </c>
      <c r="C728" s="1290"/>
      <c r="D728" s="1290"/>
      <c r="E728" s="1290"/>
      <c r="F728" s="1291"/>
      <c r="G728" s="1298">
        <v>38</v>
      </c>
      <c r="H728" s="1299"/>
      <c r="I728" s="1299"/>
      <c r="J728" s="1300"/>
      <c r="K728" s="1539">
        <f>K727</f>
        <v>558</v>
      </c>
      <c r="L728" s="1540"/>
      <c r="M728" s="1540"/>
      <c r="N728" s="1541"/>
      <c r="O728" s="1305">
        <v>1628</v>
      </c>
      <c r="P728" s="1306"/>
      <c r="Q728" s="1306"/>
      <c r="R728" s="1306"/>
      <c r="S728" s="1307"/>
      <c r="T728" s="1305">
        <v>76</v>
      </c>
      <c r="U728" s="1306"/>
      <c r="V728" s="1306"/>
      <c r="W728" s="1307"/>
      <c r="X728" s="1292">
        <f t="shared" si="10"/>
        <v>1704</v>
      </c>
      <c r="Y728" s="1293"/>
      <c r="Z728" s="1293"/>
      <c r="AA728" s="1293"/>
      <c r="AB728" s="1294"/>
      <c r="AC728" s="1302">
        <v>0.6</v>
      </c>
      <c r="AD728" s="1303"/>
      <c r="AE728" s="1303"/>
      <c r="AF728" s="1303"/>
      <c r="AG728" s="1304"/>
      <c r="AH728" s="1295">
        <f t="shared" si="38"/>
        <v>0.6</v>
      </c>
      <c r="AI728" s="1296"/>
      <c r="AJ728" s="1297"/>
      <c r="AK728" s="1289" t="s">
        <v>590</v>
      </c>
      <c r="AL728" s="1290"/>
      <c r="AM728" s="1290"/>
      <c r="AN728" s="1290"/>
      <c r="AO728" s="1291"/>
      <c r="AP728" s="3"/>
      <c r="AQ728" s="3"/>
      <c r="AR728" s="3"/>
      <c r="AS728" s="3"/>
      <c r="AZ728" s="118">
        <f t="shared" si="11"/>
        <v>2840</v>
      </c>
      <c r="BA728" s="3"/>
      <c r="BB728" s="3"/>
      <c r="BC728" s="3"/>
      <c r="BD728" s="3"/>
      <c r="BE728" s="204"/>
      <c r="BF728" s="294">
        <f t="shared" si="12"/>
        <v>38</v>
      </c>
      <c r="BG728" s="297">
        <f t="shared" si="13"/>
        <v>0.24836601307189543</v>
      </c>
      <c r="BH728" s="298">
        <f t="shared" si="14"/>
        <v>0.14901960784313725</v>
      </c>
      <c r="BI728" s="3"/>
      <c r="BJ728" s="3"/>
      <c r="BK728" s="3"/>
      <c r="BL728" s="3"/>
      <c r="BM728" s="3"/>
      <c r="BN728" s="3"/>
      <c r="BS728" s="294">
        <f t="shared" si="15"/>
        <v>38</v>
      </c>
      <c r="BT728" s="297">
        <f t="shared" si="16"/>
        <v>0.24836601307189543</v>
      </c>
      <c r="BU728" s="298">
        <f t="shared" si="17"/>
        <v>0.14901960784313725</v>
      </c>
      <c r="CC728" s="3"/>
      <c r="CD728" s="3"/>
      <c r="CE728" s="3"/>
      <c r="CF728" s="3"/>
      <c r="CG728" s="1285">
        <f t="shared" si="39"/>
        <v>0</v>
      </c>
      <c r="CH728" s="1287"/>
      <c r="CI728" s="1274">
        <f t="shared" si="40"/>
        <v>0</v>
      </c>
      <c r="CJ728" s="1276"/>
      <c r="CK728" s="1285">
        <f t="shared" si="18"/>
        <v>0</v>
      </c>
      <c r="CL728" s="1287"/>
      <c r="CM728" s="1274">
        <f t="shared" si="19"/>
        <v>0</v>
      </c>
      <c r="CN728" s="1276"/>
      <c r="CO728" s="3"/>
      <c r="CP728" s="1268">
        <f t="shared" si="20"/>
        <v>0</v>
      </c>
      <c r="CQ728" s="1269"/>
      <c r="CR728" s="1269"/>
      <c r="CS728" s="1269"/>
      <c r="CT728" s="1270"/>
      <c r="CU728" s="1288">
        <f t="shared" si="21"/>
        <v>38</v>
      </c>
      <c r="CV728" s="1288"/>
      <c r="CW728" s="1288"/>
      <c r="CX728" s="1288"/>
      <c r="CY728" s="1288"/>
      <c r="CZ728" s="1288">
        <f t="shared" si="22"/>
        <v>0</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308">
        <f t="shared" si="26"/>
        <v>0</v>
      </c>
      <c r="DV728" s="1308"/>
      <c r="DW728" s="1308"/>
      <c r="DX728" s="1308"/>
      <c r="DY728" s="1308"/>
      <c r="DZ728" s="1308">
        <f t="shared" si="27"/>
        <v>0</v>
      </c>
      <c r="EA728" s="1308"/>
      <c r="EB728" s="1308"/>
      <c r="EC728" s="1308"/>
      <c r="ED728" s="1308"/>
      <c r="EE728" s="1308">
        <f t="shared" si="28"/>
        <v>0</v>
      </c>
      <c r="EF728" s="1308"/>
      <c r="EG728" s="1308"/>
      <c r="EH728" s="1308"/>
      <c r="EI728" s="1308"/>
      <c r="EJ728" s="1308">
        <f t="shared" si="29"/>
        <v>0</v>
      </c>
      <c r="EK728" s="1308"/>
      <c r="EL728" s="1308"/>
      <c r="EM728" s="1308"/>
      <c r="EN728" s="1308"/>
      <c r="EO728" s="1308">
        <f t="shared" si="30"/>
        <v>0</v>
      </c>
      <c r="EP728" s="1308"/>
      <c r="EQ728" s="1308"/>
      <c r="ER728" s="1308"/>
      <c r="ES728" s="1308"/>
      <c r="ET728" s="1308">
        <f t="shared" si="31"/>
        <v>0</v>
      </c>
      <c r="EU728" s="1308"/>
      <c r="EV728" s="1308"/>
      <c r="EW728" s="1308"/>
      <c r="EX728" s="1308"/>
      <c r="EZ728" s="1285" t="str">
        <f t="shared" si="32"/>
        <v/>
      </c>
      <c r="FA728" s="1286"/>
      <c r="FB728" s="1286"/>
      <c r="FC728" s="1286"/>
      <c r="FD728" s="1287"/>
      <c r="FE728" s="1285">
        <f t="shared" si="33"/>
        <v>1628</v>
      </c>
      <c r="FF728" s="1286"/>
      <c r="FG728" s="1286"/>
      <c r="FH728" s="1286"/>
      <c r="FI728" s="1287"/>
      <c r="FJ728" s="1285" t="str">
        <f t="shared" si="34"/>
        <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2.95" customHeight="1">
      <c r="B729" s="1289" t="s">
        <v>163</v>
      </c>
      <c r="C729" s="1290"/>
      <c r="D729" s="1290"/>
      <c r="E729" s="1290"/>
      <c r="F729" s="1291"/>
      <c r="G729" s="1298">
        <v>5</v>
      </c>
      <c r="H729" s="1299"/>
      <c r="I729" s="1299"/>
      <c r="J729" s="1300"/>
      <c r="K729" s="1539">
        <v>745</v>
      </c>
      <c r="L729" s="1540"/>
      <c r="M729" s="1540"/>
      <c r="N729" s="1541"/>
      <c r="O729" s="1305">
        <v>1599</v>
      </c>
      <c r="P729" s="1306"/>
      <c r="Q729" s="1306"/>
      <c r="R729" s="1306"/>
      <c r="S729" s="1307"/>
      <c r="T729" s="1305">
        <v>104</v>
      </c>
      <c r="U729" s="1306"/>
      <c r="V729" s="1306"/>
      <c r="W729" s="1307"/>
      <c r="X729" s="1292">
        <f t="shared" si="10"/>
        <v>1703</v>
      </c>
      <c r="Y729" s="1293"/>
      <c r="Z729" s="1293"/>
      <c r="AA729" s="1293"/>
      <c r="AB729" s="1294"/>
      <c r="AC729" s="1302">
        <v>0.5</v>
      </c>
      <c r="AD729" s="1303"/>
      <c r="AE729" s="1303"/>
      <c r="AF729" s="1303"/>
      <c r="AG729" s="1304"/>
      <c r="AH729" s="1295">
        <f t="shared" si="38"/>
        <v>0.5</v>
      </c>
      <c r="AI729" s="1296"/>
      <c r="AJ729" s="1297"/>
      <c r="AK729" s="1289" t="s">
        <v>590</v>
      </c>
      <c r="AL729" s="1290"/>
      <c r="AM729" s="1290"/>
      <c r="AN729" s="1290"/>
      <c r="AO729" s="1291"/>
      <c r="AP729" s="3"/>
      <c r="AQ729" s="3"/>
      <c r="AR729" s="3"/>
      <c r="AS729" s="3"/>
      <c r="AY729" s="116"/>
      <c r="AZ729" s="118">
        <f t="shared" si="11"/>
        <v>3406</v>
      </c>
      <c r="BA729" s="3"/>
      <c r="BB729" s="3"/>
      <c r="BC729" s="3"/>
      <c r="BD729" s="3"/>
      <c r="BE729" s="204"/>
      <c r="BF729" s="294">
        <f t="shared" si="12"/>
        <v>5</v>
      </c>
      <c r="BG729" s="297">
        <f t="shared" si="13"/>
        <v>3.2679738562091505E-2</v>
      </c>
      <c r="BH729" s="298">
        <f t="shared" si="14"/>
        <v>1.6339869281045753E-2</v>
      </c>
      <c r="BI729" s="3"/>
      <c r="BJ729" s="3"/>
      <c r="BK729" s="3"/>
      <c r="BL729" s="3"/>
      <c r="BM729" s="3"/>
      <c r="BN729" s="3"/>
      <c r="BS729" s="294">
        <f t="shared" si="15"/>
        <v>5</v>
      </c>
      <c r="BT729" s="297">
        <f t="shared" si="16"/>
        <v>3.2679738562091505E-2</v>
      </c>
      <c r="BU729" s="298">
        <f t="shared" si="17"/>
        <v>1.6339869281045753E-2</v>
      </c>
      <c r="CC729" s="3"/>
      <c r="CD729" s="3"/>
      <c r="CE729" s="3"/>
      <c r="CF729" s="3"/>
      <c r="CG729" s="1285">
        <f t="shared" si="39"/>
        <v>1</v>
      </c>
      <c r="CH729" s="1287"/>
      <c r="CI729" s="1274">
        <f t="shared" si="40"/>
        <v>5</v>
      </c>
      <c r="CJ729" s="1276"/>
      <c r="CK729" s="1285">
        <f t="shared" si="18"/>
        <v>0</v>
      </c>
      <c r="CL729" s="1287"/>
      <c r="CM729" s="1274">
        <f t="shared" si="19"/>
        <v>0</v>
      </c>
      <c r="CN729" s="1276"/>
      <c r="CO729" s="3"/>
      <c r="CP729" s="1268">
        <f t="shared" si="20"/>
        <v>0</v>
      </c>
      <c r="CQ729" s="1269"/>
      <c r="CR729" s="1269"/>
      <c r="CS729" s="1269"/>
      <c r="CT729" s="1270"/>
      <c r="CU729" s="1288">
        <f t="shared" si="21"/>
        <v>0</v>
      </c>
      <c r="CV729" s="1288"/>
      <c r="CW729" s="1288"/>
      <c r="CX729" s="1288"/>
      <c r="CY729" s="1288"/>
      <c r="CZ729" s="1288">
        <f t="shared" si="22"/>
        <v>5</v>
      </c>
      <c r="DA729" s="1288"/>
      <c r="DB729" s="1288"/>
      <c r="DC729" s="1288"/>
      <c r="DD729" s="1288"/>
      <c r="DE729" s="1288">
        <f t="shared" si="23"/>
        <v>0</v>
      </c>
      <c r="DF729" s="1288"/>
      <c r="DG729" s="1288"/>
      <c r="DH729" s="1288"/>
      <c r="DI729" s="1288"/>
      <c r="DJ729" s="1288">
        <f t="shared" si="24"/>
        <v>0</v>
      </c>
      <c r="DK729" s="1288"/>
      <c r="DL729" s="1288"/>
      <c r="DM729" s="1288"/>
      <c r="DN729" s="1288"/>
      <c r="DO729" s="1288">
        <f t="shared" si="25"/>
        <v>0</v>
      </c>
      <c r="DP729" s="1288"/>
      <c r="DQ729" s="1288"/>
      <c r="DR729" s="1288"/>
      <c r="DS729" s="1288"/>
      <c r="DT729" s="6"/>
      <c r="DU729" s="1308">
        <f t="shared" si="26"/>
        <v>0</v>
      </c>
      <c r="DV729" s="1308"/>
      <c r="DW729" s="1308"/>
      <c r="DX729" s="1308"/>
      <c r="DY729" s="1308"/>
      <c r="DZ729" s="1308">
        <f t="shared" si="27"/>
        <v>0</v>
      </c>
      <c r="EA729" s="1308"/>
      <c r="EB729" s="1308"/>
      <c r="EC729" s="1308"/>
      <c r="ED729" s="1308"/>
      <c r="EE729" s="1308">
        <f t="shared" si="28"/>
        <v>0</v>
      </c>
      <c r="EF729" s="1308"/>
      <c r="EG729" s="1308"/>
      <c r="EH729" s="1308"/>
      <c r="EI729" s="1308"/>
      <c r="EJ729" s="1308">
        <f t="shared" si="29"/>
        <v>0</v>
      </c>
      <c r="EK729" s="1308"/>
      <c r="EL729" s="1308"/>
      <c r="EM729" s="1308"/>
      <c r="EN729" s="1308"/>
      <c r="EO729" s="1308">
        <f t="shared" si="30"/>
        <v>0</v>
      </c>
      <c r="EP729" s="1308"/>
      <c r="EQ729" s="1308"/>
      <c r="ER729" s="1308"/>
      <c r="ES729" s="1308"/>
      <c r="ET729" s="1308">
        <f t="shared" si="31"/>
        <v>0</v>
      </c>
      <c r="EU729" s="1308"/>
      <c r="EV729" s="1308"/>
      <c r="EW729" s="1308"/>
      <c r="EX729" s="1308"/>
      <c r="EZ729" s="1285" t="str">
        <f t="shared" si="32"/>
        <v/>
      </c>
      <c r="FA729" s="1286"/>
      <c r="FB729" s="1286"/>
      <c r="FC729" s="1286"/>
      <c r="FD729" s="1287"/>
      <c r="FE729" s="1285" t="str">
        <f t="shared" si="33"/>
        <v/>
      </c>
      <c r="FF729" s="1286"/>
      <c r="FG729" s="1286"/>
      <c r="FH729" s="1286"/>
      <c r="FI729" s="1287"/>
      <c r="FJ729" s="1285">
        <f t="shared" si="34"/>
        <v>1599</v>
      </c>
      <c r="FK729" s="1286"/>
      <c r="FL729" s="1286"/>
      <c r="FM729" s="1286"/>
      <c r="FN729" s="1287"/>
      <c r="FO729" s="1285" t="str">
        <f t="shared" si="35"/>
        <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2.95" customHeight="1">
      <c r="B730" s="1289" t="s">
        <v>163</v>
      </c>
      <c r="C730" s="1290"/>
      <c r="D730" s="1290"/>
      <c r="E730" s="1290"/>
      <c r="F730" s="1291"/>
      <c r="G730" s="1298">
        <v>17</v>
      </c>
      <c r="H730" s="1299"/>
      <c r="I730" s="1299"/>
      <c r="J730" s="1300"/>
      <c r="K730" s="1539">
        <f>K729</f>
        <v>745</v>
      </c>
      <c r="L730" s="1540"/>
      <c r="M730" s="1540"/>
      <c r="N730" s="1541"/>
      <c r="O730" s="1305">
        <v>1939.6</v>
      </c>
      <c r="P730" s="1306"/>
      <c r="Q730" s="1306"/>
      <c r="R730" s="1306"/>
      <c r="S730" s="1307"/>
      <c r="T730" s="1305">
        <v>104</v>
      </c>
      <c r="U730" s="1306"/>
      <c r="V730" s="1306"/>
      <c r="W730" s="1307"/>
      <c r="X730" s="1292">
        <f t="shared" si="10"/>
        <v>2043.6</v>
      </c>
      <c r="Y730" s="1293"/>
      <c r="Z730" s="1293"/>
      <c r="AA730" s="1293"/>
      <c r="AB730" s="1294"/>
      <c r="AC730" s="1302">
        <v>0.6</v>
      </c>
      <c r="AD730" s="1303"/>
      <c r="AE730" s="1303"/>
      <c r="AF730" s="1303"/>
      <c r="AG730" s="1304"/>
      <c r="AH730" s="1295">
        <f t="shared" si="38"/>
        <v>0.6</v>
      </c>
      <c r="AI730" s="1296"/>
      <c r="AJ730" s="1297"/>
      <c r="AK730" s="1289" t="s">
        <v>590</v>
      </c>
      <c r="AL730" s="1290"/>
      <c r="AM730" s="1290"/>
      <c r="AN730" s="1290"/>
      <c r="AO730" s="1291"/>
      <c r="AP730" s="3"/>
      <c r="AQ730" s="3"/>
      <c r="AR730" s="3"/>
      <c r="AS730" s="3"/>
      <c r="AY730" s="116"/>
      <c r="AZ730" s="118">
        <f t="shared" si="11"/>
        <v>3406</v>
      </c>
      <c r="BA730" s="3"/>
      <c r="BB730" s="3"/>
      <c r="BC730" s="3"/>
      <c r="BD730" s="3"/>
      <c r="BE730" s="204"/>
      <c r="BF730" s="294">
        <f t="shared" si="12"/>
        <v>17</v>
      </c>
      <c r="BG730" s="297">
        <f t="shared" si="13"/>
        <v>0.1111111111111111</v>
      </c>
      <c r="BH730" s="298">
        <f t="shared" si="14"/>
        <v>6.6666666666666666E-2</v>
      </c>
      <c r="BI730" s="3"/>
      <c r="BJ730" s="3"/>
      <c r="BK730" s="3"/>
      <c r="BL730" s="3"/>
      <c r="BM730" s="3"/>
      <c r="BN730" s="3"/>
      <c r="BS730" s="294">
        <f t="shared" si="15"/>
        <v>17</v>
      </c>
      <c r="BT730" s="297">
        <f t="shared" si="16"/>
        <v>0.1111111111111111</v>
      </c>
      <c r="BU730" s="298">
        <f t="shared" si="17"/>
        <v>6.6666666666666666E-2</v>
      </c>
      <c r="CC730" s="3"/>
      <c r="CD730" s="3"/>
      <c r="CE730" s="3"/>
      <c r="CF730" s="3"/>
      <c r="CG730" s="1285">
        <f t="shared" si="39"/>
        <v>0</v>
      </c>
      <c r="CH730" s="1287"/>
      <c r="CI730" s="1274">
        <f t="shared" si="40"/>
        <v>0</v>
      </c>
      <c r="CJ730" s="1276"/>
      <c r="CK730" s="1285">
        <f t="shared" si="18"/>
        <v>0</v>
      </c>
      <c r="CL730" s="1287"/>
      <c r="CM730" s="1274">
        <f t="shared" si="19"/>
        <v>0</v>
      </c>
      <c r="CN730" s="1276"/>
      <c r="CO730" s="3"/>
      <c r="CP730" s="1268">
        <f t="shared" si="20"/>
        <v>0</v>
      </c>
      <c r="CQ730" s="1269"/>
      <c r="CR730" s="1269"/>
      <c r="CS730" s="1269"/>
      <c r="CT730" s="1270"/>
      <c r="CU730" s="1288">
        <f t="shared" si="21"/>
        <v>0</v>
      </c>
      <c r="CV730" s="1288"/>
      <c r="CW730" s="1288"/>
      <c r="CX730" s="1288"/>
      <c r="CY730" s="1288"/>
      <c r="CZ730" s="1288">
        <f t="shared" si="22"/>
        <v>17</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308">
        <f t="shared" si="26"/>
        <v>0</v>
      </c>
      <c r="DV730" s="1308"/>
      <c r="DW730" s="1308"/>
      <c r="DX730" s="1308"/>
      <c r="DY730" s="1308"/>
      <c r="DZ730" s="1308">
        <f t="shared" si="27"/>
        <v>0</v>
      </c>
      <c r="EA730" s="1308"/>
      <c r="EB730" s="1308"/>
      <c r="EC730" s="1308"/>
      <c r="ED730" s="1308"/>
      <c r="EE730" s="1308">
        <f t="shared" si="28"/>
        <v>0</v>
      </c>
      <c r="EF730" s="1308"/>
      <c r="EG730" s="1308"/>
      <c r="EH730" s="1308"/>
      <c r="EI730" s="1308"/>
      <c r="EJ730" s="1308">
        <f t="shared" si="29"/>
        <v>0</v>
      </c>
      <c r="EK730" s="1308"/>
      <c r="EL730" s="1308"/>
      <c r="EM730" s="1308"/>
      <c r="EN730" s="1308"/>
      <c r="EO730" s="1308">
        <f t="shared" si="30"/>
        <v>0</v>
      </c>
      <c r="EP730" s="1308"/>
      <c r="EQ730" s="1308"/>
      <c r="ER730" s="1308"/>
      <c r="ES730" s="1308"/>
      <c r="ET730" s="1308">
        <f t="shared" si="31"/>
        <v>0</v>
      </c>
      <c r="EU730" s="1308"/>
      <c r="EV730" s="1308"/>
      <c r="EW730" s="1308"/>
      <c r="EX730" s="1308"/>
      <c r="EZ730" s="1285" t="str">
        <f t="shared" si="32"/>
        <v/>
      </c>
      <c r="FA730" s="1286"/>
      <c r="FB730" s="1286"/>
      <c r="FC730" s="1286"/>
      <c r="FD730" s="1287"/>
      <c r="FE730" s="1285" t="str">
        <f t="shared" si="33"/>
        <v/>
      </c>
      <c r="FF730" s="1286"/>
      <c r="FG730" s="1286"/>
      <c r="FH730" s="1286"/>
      <c r="FI730" s="1287"/>
      <c r="FJ730" s="1285">
        <f t="shared" si="34"/>
        <v>1939.6</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2.95" customHeight="1">
      <c r="B731" s="1289" t="s">
        <v>163</v>
      </c>
      <c r="C731" s="1290"/>
      <c r="D731" s="1290"/>
      <c r="E731" s="1290"/>
      <c r="F731" s="1291"/>
      <c r="G731" s="1298">
        <v>26</v>
      </c>
      <c r="H731" s="1299"/>
      <c r="I731" s="1299"/>
      <c r="J731" s="1300"/>
      <c r="K731" s="1539">
        <f>K730</f>
        <v>745</v>
      </c>
      <c r="L731" s="1540"/>
      <c r="M731" s="1540"/>
      <c r="N731" s="1541"/>
      <c r="O731" s="1305">
        <v>2281</v>
      </c>
      <c r="P731" s="1306"/>
      <c r="Q731" s="1306"/>
      <c r="R731" s="1306"/>
      <c r="S731" s="1307"/>
      <c r="T731" s="1305">
        <v>104</v>
      </c>
      <c r="U731" s="1306"/>
      <c r="V731" s="1306"/>
      <c r="W731" s="1307"/>
      <c r="X731" s="1292">
        <f t="shared" si="10"/>
        <v>2385</v>
      </c>
      <c r="Y731" s="1293"/>
      <c r="Z731" s="1293"/>
      <c r="AA731" s="1293"/>
      <c r="AB731" s="1294"/>
      <c r="AC731" s="1302">
        <v>0.7</v>
      </c>
      <c r="AD731" s="1303"/>
      <c r="AE731" s="1303"/>
      <c r="AF731" s="1303"/>
      <c r="AG731" s="1304"/>
      <c r="AH731" s="1295">
        <f t="shared" si="38"/>
        <v>0.70023487962419262</v>
      </c>
      <c r="AI731" s="1296"/>
      <c r="AJ731" s="1297"/>
      <c r="AK731" s="1289" t="s">
        <v>590</v>
      </c>
      <c r="AL731" s="1290"/>
      <c r="AM731" s="1290"/>
      <c r="AN731" s="1290"/>
      <c r="AO731" s="1291"/>
      <c r="AP731" s="3"/>
      <c r="AQ731" s="3"/>
      <c r="AR731" s="3"/>
      <c r="AS731" s="3"/>
      <c r="AY731" s="116"/>
      <c r="AZ731" s="118">
        <f t="shared" si="11"/>
        <v>3406</v>
      </c>
      <c r="BA731" s="3"/>
      <c r="BB731" s="3"/>
      <c r="BC731" s="3"/>
      <c r="BD731" s="3"/>
      <c r="BE731" s="204"/>
      <c r="BF731" s="294">
        <f t="shared" si="12"/>
        <v>26</v>
      </c>
      <c r="BG731" s="297">
        <f t="shared" si="13"/>
        <v>0.16993464052287582</v>
      </c>
      <c r="BH731" s="298">
        <f t="shared" si="14"/>
        <v>0.11895424836601307</v>
      </c>
      <c r="BI731" s="3"/>
      <c r="BJ731" s="3"/>
      <c r="BK731" s="3"/>
      <c r="BL731" s="3"/>
      <c r="BM731" s="3"/>
      <c r="BN731" s="3"/>
      <c r="BS731" s="294">
        <f t="shared" si="15"/>
        <v>26</v>
      </c>
      <c r="BT731" s="297">
        <f t="shared" si="16"/>
        <v>0.16993464052287582</v>
      </c>
      <c r="BU731" s="298">
        <f t="shared" si="17"/>
        <v>0.1189941625505164</v>
      </c>
      <c r="CC731" s="3"/>
      <c r="CD731" s="3"/>
      <c r="CE731" s="3"/>
      <c r="CF731" s="3"/>
      <c r="CG731" s="1285">
        <f t="shared" si="39"/>
        <v>0</v>
      </c>
      <c r="CH731" s="1287"/>
      <c r="CI731" s="1274">
        <f t="shared" si="40"/>
        <v>0</v>
      </c>
      <c r="CJ731" s="1276"/>
      <c r="CK731" s="1285">
        <f t="shared" si="18"/>
        <v>0</v>
      </c>
      <c r="CL731" s="1287"/>
      <c r="CM731" s="1274">
        <f t="shared" si="19"/>
        <v>0</v>
      </c>
      <c r="CN731" s="1276"/>
      <c r="CO731" s="3"/>
      <c r="CP731" s="1268">
        <f t="shared" si="20"/>
        <v>0</v>
      </c>
      <c r="CQ731" s="1269"/>
      <c r="CR731" s="1269"/>
      <c r="CS731" s="1269"/>
      <c r="CT731" s="1270"/>
      <c r="CU731" s="1288">
        <f t="shared" si="21"/>
        <v>0</v>
      </c>
      <c r="CV731" s="1288"/>
      <c r="CW731" s="1288"/>
      <c r="CX731" s="1288"/>
      <c r="CY731" s="1288"/>
      <c r="CZ731" s="1288">
        <f t="shared" si="22"/>
        <v>26</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308">
        <f t="shared" si="26"/>
        <v>0</v>
      </c>
      <c r="DV731" s="1308"/>
      <c r="DW731" s="1308"/>
      <c r="DX731" s="1308"/>
      <c r="DY731" s="1308"/>
      <c r="DZ731" s="1308">
        <f t="shared" si="27"/>
        <v>0</v>
      </c>
      <c r="EA731" s="1308"/>
      <c r="EB731" s="1308"/>
      <c r="EC731" s="1308"/>
      <c r="ED731" s="1308"/>
      <c r="EE731" s="1308">
        <f t="shared" si="28"/>
        <v>0</v>
      </c>
      <c r="EF731" s="1308"/>
      <c r="EG731" s="1308"/>
      <c r="EH731" s="1308"/>
      <c r="EI731" s="1308"/>
      <c r="EJ731" s="1308">
        <f t="shared" si="29"/>
        <v>0</v>
      </c>
      <c r="EK731" s="1308"/>
      <c r="EL731" s="1308"/>
      <c r="EM731" s="1308"/>
      <c r="EN731" s="1308"/>
      <c r="EO731" s="1308">
        <f t="shared" si="30"/>
        <v>0</v>
      </c>
      <c r="EP731" s="1308"/>
      <c r="EQ731" s="1308"/>
      <c r="ER731" s="1308"/>
      <c r="ES731" s="1308"/>
      <c r="ET731" s="1308">
        <f t="shared" si="31"/>
        <v>0</v>
      </c>
      <c r="EU731" s="1308"/>
      <c r="EV731" s="1308"/>
      <c r="EW731" s="1308"/>
      <c r="EX731" s="1308"/>
      <c r="EZ731" s="1285" t="str">
        <f t="shared" si="32"/>
        <v/>
      </c>
      <c r="FA731" s="1286"/>
      <c r="FB731" s="1286"/>
      <c r="FC731" s="1286"/>
      <c r="FD731" s="1287"/>
      <c r="FE731" s="1285" t="str">
        <f t="shared" si="33"/>
        <v/>
      </c>
      <c r="FF731" s="1286"/>
      <c r="FG731" s="1286"/>
      <c r="FH731" s="1286"/>
      <c r="FI731" s="1287"/>
      <c r="FJ731" s="1285">
        <f t="shared" si="34"/>
        <v>2281</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2.95" customHeight="1">
      <c r="B732" s="1289" t="s">
        <v>164</v>
      </c>
      <c r="C732" s="1290"/>
      <c r="D732" s="1290"/>
      <c r="E732" s="1290"/>
      <c r="F732" s="1291"/>
      <c r="G732" s="1298">
        <v>5</v>
      </c>
      <c r="H732" s="1299"/>
      <c r="I732" s="1299"/>
      <c r="J732" s="1300"/>
      <c r="K732" s="1539">
        <v>990</v>
      </c>
      <c r="L732" s="1540"/>
      <c r="M732" s="1540"/>
      <c r="N732" s="1541"/>
      <c r="O732" s="1305">
        <v>1838</v>
      </c>
      <c r="P732" s="1306"/>
      <c r="Q732" s="1306"/>
      <c r="R732" s="1306"/>
      <c r="S732" s="1307"/>
      <c r="T732" s="1305">
        <v>131</v>
      </c>
      <c r="U732" s="1306"/>
      <c r="V732" s="1306"/>
      <c r="W732" s="1307"/>
      <c r="X732" s="1292">
        <f t="shared" si="10"/>
        <v>1969</v>
      </c>
      <c r="Y732" s="1293"/>
      <c r="Z732" s="1293"/>
      <c r="AA732" s="1293"/>
      <c r="AB732" s="1294"/>
      <c r="AC732" s="1302">
        <v>0.5</v>
      </c>
      <c r="AD732" s="1303"/>
      <c r="AE732" s="1303"/>
      <c r="AF732" s="1303"/>
      <c r="AG732" s="1304"/>
      <c r="AH732" s="1295">
        <f t="shared" si="38"/>
        <v>0.5</v>
      </c>
      <c r="AI732" s="1296"/>
      <c r="AJ732" s="1297"/>
      <c r="AK732" s="1289" t="s">
        <v>590</v>
      </c>
      <c r="AL732" s="1290"/>
      <c r="AM732" s="1290"/>
      <c r="AN732" s="1290"/>
      <c r="AO732" s="1291"/>
      <c r="AP732" s="3"/>
      <c r="AQ732" s="3"/>
      <c r="AR732" s="3"/>
      <c r="AS732" s="3"/>
      <c r="AY732" s="116"/>
      <c r="AZ732" s="118">
        <f t="shared" si="11"/>
        <v>3938</v>
      </c>
      <c r="BA732" s="3"/>
      <c r="BB732" s="3"/>
      <c r="BC732" s="3"/>
      <c r="BD732" s="3"/>
      <c r="BE732" s="204"/>
      <c r="BF732" s="294">
        <f t="shared" si="12"/>
        <v>5</v>
      </c>
      <c r="BG732" s="297">
        <f t="shared" si="13"/>
        <v>3.2679738562091505E-2</v>
      </c>
      <c r="BH732" s="298">
        <f t="shared" si="14"/>
        <v>1.6339869281045753E-2</v>
      </c>
      <c r="BI732" s="3"/>
      <c r="BJ732" s="3"/>
      <c r="BK732" s="3"/>
      <c r="BL732" s="3"/>
      <c r="BM732" s="3"/>
      <c r="BN732" s="3"/>
      <c r="BS732" s="294">
        <f t="shared" si="15"/>
        <v>5</v>
      </c>
      <c r="BT732" s="297">
        <f t="shared" si="16"/>
        <v>3.2679738562091505E-2</v>
      </c>
      <c r="BU732" s="298">
        <f t="shared" si="17"/>
        <v>1.6339869281045753E-2</v>
      </c>
      <c r="CC732" s="3"/>
      <c r="CE732" s="3"/>
      <c r="CF732" s="3"/>
      <c r="CG732" s="1285">
        <f t="shared" si="39"/>
        <v>1</v>
      </c>
      <c r="CH732" s="1287"/>
      <c r="CI732" s="1274">
        <f t="shared" si="40"/>
        <v>5</v>
      </c>
      <c r="CJ732" s="1276"/>
      <c r="CK732" s="1285">
        <f t="shared" si="18"/>
        <v>0</v>
      </c>
      <c r="CL732" s="1287"/>
      <c r="CM732" s="1274">
        <f t="shared" si="19"/>
        <v>0</v>
      </c>
      <c r="CN732" s="1276"/>
      <c r="CO732" s="3"/>
      <c r="CP732" s="1268">
        <f t="shared" si="20"/>
        <v>0</v>
      </c>
      <c r="CQ732" s="1269"/>
      <c r="CR732" s="1269"/>
      <c r="CS732" s="1269"/>
      <c r="CT732" s="1270"/>
      <c r="CU732" s="1288">
        <f t="shared" si="21"/>
        <v>0</v>
      </c>
      <c r="CV732" s="1288"/>
      <c r="CW732" s="1288"/>
      <c r="CX732" s="1288"/>
      <c r="CY732" s="1288"/>
      <c r="CZ732" s="1288">
        <f t="shared" si="22"/>
        <v>0</v>
      </c>
      <c r="DA732" s="1288"/>
      <c r="DB732" s="1288"/>
      <c r="DC732" s="1288"/>
      <c r="DD732" s="1288"/>
      <c r="DE732" s="1288">
        <f t="shared" si="23"/>
        <v>5</v>
      </c>
      <c r="DF732" s="1288"/>
      <c r="DG732" s="1288"/>
      <c r="DH732" s="1288"/>
      <c r="DI732" s="1288"/>
      <c r="DJ732" s="1288">
        <f t="shared" si="24"/>
        <v>0</v>
      </c>
      <c r="DK732" s="1288"/>
      <c r="DL732" s="1288"/>
      <c r="DM732" s="1288"/>
      <c r="DN732" s="1288"/>
      <c r="DO732" s="1288">
        <f t="shared" si="25"/>
        <v>0</v>
      </c>
      <c r="DP732" s="1288"/>
      <c r="DQ732" s="1288"/>
      <c r="DR732" s="1288"/>
      <c r="DS732" s="1288"/>
      <c r="DT732" s="6"/>
      <c r="DU732" s="1308">
        <f t="shared" si="26"/>
        <v>0</v>
      </c>
      <c r="DV732" s="1308"/>
      <c r="DW732" s="1308"/>
      <c r="DX732" s="1308"/>
      <c r="DY732" s="1308"/>
      <c r="DZ732" s="1308">
        <f t="shared" si="27"/>
        <v>0</v>
      </c>
      <c r="EA732" s="1308"/>
      <c r="EB732" s="1308"/>
      <c r="EC732" s="1308"/>
      <c r="ED732" s="1308"/>
      <c r="EE732" s="1308">
        <f t="shared" si="28"/>
        <v>0</v>
      </c>
      <c r="EF732" s="1308"/>
      <c r="EG732" s="1308"/>
      <c r="EH732" s="1308"/>
      <c r="EI732" s="1308"/>
      <c r="EJ732" s="1308">
        <f t="shared" si="29"/>
        <v>0</v>
      </c>
      <c r="EK732" s="1308"/>
      <c r="EL732" s="1308"/>
      <c r="EM732" s="1308"/>
      <c r="EN732" s="1308"/>
      <c r="EO732" s="1308">
        <f t="shared" si="30"/>
        <v>0</v>
      </c>
      <c r="EP732" s="1308"/>
      <c r="EQ732" s="1308"/>
      <c r="ER732" s="1308"/>
      <c r="ES732" s="1308"/>
      <c r="ET732" s="1308">
        <f t="shared" si="31"/>
        <v>0</v>
      </c>
      <c r="EU732" s="1308"/>
      <c r="EV732" s="1308"/>
      <c r="EW732" s="1308"/>
      <c r="EX732" s="1308"/>
      <c r="EZ732" s="1285" t="str">
        <f t="shared" si="32"/>
        <v/>
      </c>
      <c r="FA732" s="1286"/>
      <c r="FB732" s="1286"/>
      <c r="FC732" s="1286"/>
      <c r="FD732" s="1287"/>
      <c r="FE732" s="1285" t="str">
        <f t="shared" si="33"/>
        <v/>
      </c>
      <c r="FF732" s="1286"/>
      <c r="FG732" s="1286"/>
      <c r="FH732" s="1286"/>
      <c r="FI732" s="1287"/>
      <c r="FJ732" s="1285" t="str">
        <f t="shared" si="34"/>
        <v/>
      </c>
      <c r="FK732" s="1286"/>
      <c r="FL732" s="1286"/>
      <c r="FM732" s="1286"/>
      <c r="FN732" s="1287"/>
      <c r="FO732" s="1285">
        <f t="shared" si="35"/>
        <v>1838</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2.95" customHeight="1">
      <c r="B733" s="1289" t="s">
        <v>164</v>
      </c>
      <c r="C733" s="1290"/>
      <c r="D733" s="1290"/>
      <c r="E733" s="1290"/>
      <c r="F733" s="1291"/>
      <c r="G733" s="1298">
        <v>39</v>
      </c>
      <c r="H733" s="1299"/>
      <c r="I733" s="1299"/>
      <c r="J733" s="1300"/>
      <c r="K733" s="1539">
        <f>K732</f>
        <v>990</v>
      </c>
      <c r="L733" s="1540"/>
      <c r="M733" s="1540"/>
      <c r="N733" s="1541"/>
      <c r="O733" s="1305">
        <v>2625.6</v>
      </c>
      <c r="P733" s="1306"/>
      <c r="Q733" s="1306"/>
      <c r="R733" s="1306"/>
      <c r="S733" s="1307"/>
      <c r="T733" s="1305">
        <v>131</v>
      </c>
      <c r="U733" s="1306"/>
      <c r="V733" s="1306"/>
      <c r="W733" s="1307"/>
      <c r="X733" s="1292">
        <f t="shared" si="10"/>
        <v>2756.6</v>
      </c>
      <c r="Y733" s="1293"/>
      <c r="Z733" s="1293"/>
      <c r="AA733" s="1293"/>
      <c r="AB733" s="1294"/>
      <c r="AC733" s="1302">
        <v>0.7</v>
      </c>
      <c r="AD733" s="1303"/>
      <c r="AE733" s="1303"/>
      <c r="AF733" s="1303"/>
      <c r="AG733" s="1304"/>
      <c r="AH733" s="1295">
        <f t="shared" si="38"/>
        <v>0.7</v>
      </c>
      <c r="AI733" s="1296"/>
      <c r="AJ733" s="1297"/>
      <c r="AK733" s="1289" t="s">
        <v>590</v>
      </c>
      <c r="AL733" s="1290"/>
      <c r="AM733" s="1290"/>
      <c r="AN733" s="1290"/>
      <c r="AO733" s="1291"/>
      <c r="AP733" s="3"/>
      <c r="AQ733" s="3"/>
      <c r="AR733" s="3"/>
      <c r="AS733" s="3"/>
      <c r="AY733" s="1080"/>
      <c r="AZ733" s="118">
        <f t="shared" si="11"/>
        <v>3938</v>
      </c>
      <c r="BA733" s="3"/>
      <c r="BB733" s="3"/>
      <c r="BC733" s="3"/>
      <c r="BD733" s="3"/>
      <c r="BE733" s="204"/>
      <c r="BF733" s="294">
        <f t="shared" si="12"/>
        <v>39</v>
      </c>
      <c r="BG733" s="297">
        <f t="shared" si="13"/>
        <v>0.25490196078431371</v>
      </c>
      <c r="BH733" s="298">
        <f t="shared" si="14"/>
        <v>0.17843137254901958</v>
      </c>
      <c r="BI733" s="3"/>
      <c r="BJ733" s="3"/>
      <c r="BK733" s="3"/>
      <c r="BL733" s="3"/>
      <c r="BM733" s="3"/>
      <c r="BN733" s="3"/>
      <c r="BS733" s="294">
        <f t="shared" si="15"/>
        <v>39</v>
      </c>
      <c r="BT733" s="297">
        <f t="shared" si="16"/>
        <v>0.25490196078431371</v>
      </c>
      <c r="BU733" s="298">
        <f t="shared" si="17"/>
        <v>0.17843137254901958</v>
      </c>
      <c r="BV733" s="292"/>
      <c r="BW733" s="3"/>
      <c r="BX733" s="3"/>
      <c r="BY733" s="3"/>
      <c r="BZ733" s="3"/>
      <c r="CA733" s="3"/>
      <c r="CB733" s="3"/>
      <c r="CC733" s="3"/>
      <c r="CE733" s="3"/>
      <c r="CF733" s="3"/>
      <c r="CG733" s="1285">
        <f t="shared" si="39"/>
        <v>0</v>
      </c>
      <c r="CH733" s="1287"/>
      <c r="CI733" s="1274">
        <f t="shared" si="40"/>
        <v>0</v>
      </c>
      <c r="CJ733" s="1276"/>
      <c r="CK733" s="1285">
        <f t="shared" si="18"/>
        <v>0</v>
      </c>
      <c r="CL733" s="1287"/>
      <c r="CM733" s="1274">
        <f t="shared" si="19"/>
        <v>0</v>
      </c>
      <c r="CN733" s="1276"/>
      <c r="CO733" s="3"/>
      <c r="CP733" s="1268">
        <f t="shared" si="20"/>
        <v>0</v>
      </c>
      <c r="CQ733" s="1269"/>
      <c r="CR733" s="1269"/>
      <c r="CS733" s="1269"/>
      <c r="CT733" s="1270"/>
      <c r="CU733" s="1288">
        <f t="shared" si="21"/>
        <v>0</v>
      </c>
      <c r="CV733" s="1288"/>
      <c r="CW733" s="1288"/>
      <c r="CX733" s="1288"/>
      <c r="CY733" s="1288"/>
      <c r="CZ733" s="1288">
        <f t="shared" si="22"/>
        <v>0</v>
      </c>
      <c r="DA733" s="1288"/>
      <c r="DB733" s="1288"/>
      <c r="DC733" s="1288"/>
      <c r="DD733" s="1288"/>
      <c r="DE733" s="1288">
        <f t="shared" si="23"/>
        <v>39</v>
      </c>
      <c r="DF733" s="1288"/>
      <c r="DG733" s="1288"/>
      <c r="DH733" s="1288"/>
      <c r="DI733" s="1288"/>
      <c r="DJ733" s="1288">
        <f t="shared" si="24"/>
        <v>0</v>
      </c>
      <c r="DK733" s="1288"/>
      <c r="DL733" s="1288"/>
      <c r="DM733" s="1288"/>
      <c r="DN733" s="1288"/>
      <c r="DO733" s="1288">
        <f t="shared" si="25"/>
        <v>0</v>
      </c>
      <c r="DP733" s="1288"/>
      <c r="DQ733" s="1288"/>
      <c r="DR733" s="1288"/>
      <c r="DS733" s="1288"/>
      <c r="DT733" s="6"/>
      <c r="DU733" s="1308">
        <f t="shared" si="26"/>
        <v>0</v>
      </c>
      <c r="DV733" s="1308"/>
      <c r="DW733" s="1308"/>
      <c r="DX733" s="1308"/>
      <c r="DY733" s="1308"/>
      <c r="DZ733" s="1308">
        <f t="shared" si="27"/>
        <v>0</v>
      </c>
      <c r="EA733" s="1308"/>
      <c r="EB733" s="1308"/>
      <c r="EC733" s="1308"/>
      <c r="ED733" s="1308"/>
      <c r="EE733" s="1308">
        <f t="shared" si="28"/>
        <v>0</v>
      </c>
      <c r="EF733" s="1308"/>
      <c r="EG733" s="1308"/>
      <c r="EH733" s="1308"/>
      <c r="EI733" s="1308"/>
      <c r="EJ733" s="1308">
        <f t="shared" si="29"/>
        <v>0</v>
      </c>
      <c r="EK733" s="1308"/>
      <c r="EL733" s="1308"/>
      <c r="EM733" s="1308"/>
      <c r="EN733" s="1308"/>
      <c r="EO733" s="1308">
        <f t="shared" si="30"/>
        <v>0</v>
      </c>
      <c r="EP733" s="1308"/>
      <c r="EQ733" s="1308"/>
      <c r="ER733" s="1308"/>
      <c r="ES733" s="1308"/>
      <c r="ET733" s="1308">
        <f t="shared" si="31"/>
        <v>0</v>
      </c>
      <c r="EU733" s="1308"/>
      <c r="EV733" s="1308"/>
      <c r="EW733" s="1308"/>
      <c r="EX733" s="1308"/>
      <c r="EZ733" s="1285" t="str">
        <f t="shared" si="32"/>
        <v/>
      </c>
      <c r="FA733" s="1286"/>
      <c r="FB733" s="1286"/>
      <c r="FC733" s="1286"/>
      <c r="FD733" s="1287"/>
      <c r="FE733" s="1285" t="str">
        <f t="shared" si="33"/>
        <v/>
      </c>
      <c r="FF733" s="1286"/>
      <c r="FG733" s="1286"/>
      <c r="FH733" s="1286"/>
      <c r="FI733" s="1287"/>
      <c r="FJ733" s="1285" t="str">
        <f t="shared" si="34"/>
        <v/>
      </c>
      <c r="FK733" s="1286"/>
      <c r="FL733" s="1286"/>
      <c r="FM733" s="1286"/>
      <c r="FN733" s="1287"/>
      <c r="FO733" s="1285">
        <f t="shared" si="35"/>
        <v>2625.6</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2.95" customHeight="1">
      <c r="B734" s="1289"/>
      <c r="C734" s="1290"/>
      <c r="D734" s="1290"/>
      <c r="E734" s="1290"/>
      <c r="F734" s="1291"/>
      <c r="G734" s="1298"/>
      <c r="H734" s="1299"/>
      <c r="I734" s="1299"/>
      <c r="J734" s="1300"/>
      <c r="K734" s="1539"/>
      <c r="L734" s="1540"/>
      <c r="M734" s="1540"/>
      <c r="N734" s="1541"/>
      <c r="O734" s="1305"/>
      <c r="P734" s="1306"/>
      <c r="Q734" s="1306"/>
      <c r="R734" s="1306"/>
      <c r="S734" s="1307"/>
      <c r="T734" s="1305"/>
      <c r="U734" s="1306"/>
      <c r="V734" s="1306"/>
      <c r="W734" s="1307"/>
      <c r="X734" s="1292">
        <f t="shared" si="10"/>
        <v>0</v>
      </c>
      <c r="Y734" s="1293"/>
      <c r="Z734" s="1293"/>
      <c r="AA734" s="1293"/>
      <c r="AB734" s="1294"/>
      <c r="AC734" s="1302"/>
      <c r="AD734" s="1303"/>
      <c r="AE734" s="1303"/>
      <c r="AF734" s="1303"/>
      <c r="AG734" s="1304"/>
      <c r="AH734" s="1295" t="str">
        <f t="shared" si="38"/>
        <v/>
      </c>
      <c r="AI734" s="1296"/>
      <c r="AJ734" s="1297"/>
      <c r="AK734" s="1289" t="s">
        <v>590</v>
      </c>
      <c r="AL734" s="1290"/>
      <c r="AM734" s="1290"/>
      <c r="AN734" s="1290"/>
      <c r="AO734" s="1291"/>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5">
        <f t="shared" si="39"/>
        <v>0</v>
      </c>
      <c r="CH734" s="1287"/>
      <c r="CI734" s="1274">
        <f t="shared" si="40"/>
        <v>0</v>
      </c>
      <c r="CJ734" s="1276"/>
      <c r="CK734" s="1285">
        <f t="shared" si="18"/>
        <v>0</v>
      </c>
      <c r="CL734" s="1287"/>
      <c r="CM734" s="1274">
        <f t="shared" si="19"/>
        <v>0</v>
      </c>
      <c r="CN734" s="1276"/>
      <c r="CO734" s="3"/>
      <c r="CP734" s="1268">
        <f t="shared" si="20"/>
        <v>0</v>
      </c>
      <c r="CQ734" s="1269"/>
      <c r="CR734" s="1269"/>
      <c r="CS734" s="1269"/>
      <c r="CT734" s="1270"/>
      <c r="CU734" s="1288">
        <f t="shared" si="21"/>
        <v>0</v>
      </c>
      <c r="CV734" s="1288"/>
      <c r="CW734" s="1288"/>
      <c r="CX734" s="1288"/>
      <c r="CY734" s="1288"/>
      <c r="CZ734" s="1288">
        <f t="shared" si="22"/>
        <v>0</v>
      </c>
      <c r="DA734" s="1288"/>
      <c r="DB734" s="1288"/>
      <c r="DC734" s="1288"/>
      <c r="DD734" s="1288"/>
      <c r="DE734" s="1288">
        <f t="shared" si="23"/>
        <v>0</v>
      </c>
      <c r="DF734" s="1288"/>
      <c r="DG734" s="1288"/>
      <c r="DH734" s="1288"/>
      <c r="DI734" s="1288"/>
      <c r="DJ734" s="1288">
        <f t="shared" si="24"/>
        <v>0</v>
      </c>
      <c r="DK734" s="1288"/>
      <c r="DL734" s="1288"/>
      <c r="DM734" s="1288"/>
      <c r="DN734" s="1288"/>
      <c r="DO734" s="1288">
        <f t="shared" si="25"/>
        <v>0</v>
      </c>
      <c r="DP734" s="1288"/>
      <c r="DQ734" s="1288"/>
      <c r="DR734" s="1288"/>
      <c r="DS734" s="1288"/>
      <c r="DT734" s="6"/>
      <c r="DU734" s="1308">
        <f t="shared" si="26"/>
        <v>0</v>
      </c>
      <c r="DV734" s="1308"/>
      <c r="DW734" s="1308"/>
      <c r="DX734" s="1308"/>
      <c r="DY734" s="1308"/>
      <c r="DZ734" s="1308">
        <f t="shared" si="27"/>
        <v>0</v>
      </c>
      <c r="EA734" s="1308"/>
      <c r="EB734" s="1308"/>
      <c r="EC734" s="1308"/>
      <c r="ED734" s="1308"/>
      <c r="EE734" s="1308">
        <f t="shared" si="28"/>
        <v>0</v>
      </c>
      <c r="EF734" s="1308"/>
      <c r="EG734" s="1308"/>
      <c r="EH734" s="1308"/>
      <c r="EI734" s="1308"/>
      <c r="EJ734" s="1308">
        <f t="shared" si="29"/>
        <v>0</v>
      </c>
      <c r="EK734" s="1308"/>
      <c r="EL734" s="1308"/>
      <c r="EM734" s="1308"/>
      <c r="EN734" s="1308"/>
      <c r="EO734" s="1308">
        <f t="shared" si="30"/>
        <v>0</v>
      </c>
      <c r="EP734" s="1308"/>
      <c r="EQ734" s="1308"/>
      <c r="ER734" s="1308"/>
      <c r="ES734" s="1308"/>
      <c r="ET734" s="1308">
        <f t="shared" si="31"/>
        <v>0</v>
      </c>
      <c r="EU734" s="1308"/>
      <c r="EV734" s="1308"/>
      <c r="EW734" s="1308"/>
      <c r="EX734" s="1308"/>
      <c r="EY734" s="4"/>
      <c r="EZ734" s="1285" t="str">
        <f t="shared" si="32"/>
        <v/>
      </c>
      <c r="FA734" s="1286"/>
      <c r="FB734" s="1286"/>
      <c r="FC734" s="1286"/>
      <c r="FD734" s="1287"/>
      <c r="FE734" s="1285" t="str">
        <f t="shared" si="33"/>
        <v/>
      </c>
      <c r="FF734" s="1286"/>
      <c r="FG734" s="1286"/>
      <c r="FH734" s="1286"/>
      <c r="FI734" s="1287"/>
      <c r="FJ734" s="1285" t="str">
        <f t="shared" si="34"/>
        <v/>
      </c>
      <c r="FK734" s="1286"/>
      <c r="FL734" s="1286"/>
      <c r="FM734" s="1286"/>
      <c r="FN734" s="1287"/>
      <c r="FO734" s="1285" t="str">
        <f t="shared" si="35"/>
        <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2.95" customHeight="1">
      <c r="A735" s="4"/>
      <c r="B735" s="1289"/>
      <c r="C735" s="1290"/>
      <c r="D735" s="1290"/>
      <c r="E735" s="1290"/>
      <c r="F735" s="1291"/>
      <c r="G735" s="1298"/>
      <c r="H735" s="1299"/>
      <c r="I735" s="1299"/>
      <c r="J735" s="1300"/>
      <c r="K735" s="1539"/>
      <c r="L735" s="1540"/>
      <c r="M735" s="1540"/>
      <c r="N735" s="1541"/>
      <c r="O735" s="1305"/>
      <c r="P735" s="1306"/>
      <c r="Q735" s="1306"/>
      <c r="R735" s="1306"/>
      <c r="S735" s="1307"/>
      <c r="T735" s="1305"/>
      <c r="U735" s="1306"/>
      <c r="V735" s="1306"/>
      <c r="W735" s="1307"/>
      <c r="X735" s="1292">
        <f t="shared" si="10"/>
        <v>0</v>
      </c>
      <c r="Y735" s="1293"/>
      <c r="Z735" s="1293"/>
      <c r="AA735" s="1293"/>
      <c r="AB735" s="1294"/>
      <c r="AC735" s="1302"/>
      <c r="AD735" s="1303"/>
      <c r="AE735" s="1303"/>
      <c r="AF735" s="1303"/>
      <c r="AG735" s="1304"/>
      <c r="AH735" s="1295" t="str">
        <f t="shared" si="38"/>
        <v/>
      </c>
      <c r="AI735" s="1296"/>
      <c r="AJ735" s="1297"/>
      <c r="AK735" s="1289" t="s">
        <v>590</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39"/>
        <v>0</v>
      </c>
      <c r="CH735" s="1287"/>
      <c r="CI735" s="1274">
        <f t="shared" si="40"/>
        <v>0</v>
      </c>
      <c r="CJ735" s="1276"/>
      <c r="CK735" s="1285">
        <f t="shared" si="18"/>
        <v>0</v>
      </c>
      <c r="CL735" s="1287"/>
      <c r="CM735" s="1274">
        <f t="shared" si="19"/>
        <v>0</v>
      </c>
      <c r="CN735" s="1276"/>
      <c r="CO735" s="3"/>
      <c r="CP735" s="1268">
        <f t="shared" si="20"/>
        <v>0</v>
      </c>
      <c r="CQ735" s="1269"/>
      <c r="CR735" s="1269"/>
      <c r="CS735" s="1269"/>
      <c r="CT735" s="1270"/>
      <c r="CU735" s="1288">
        <f t="shared" si="21"/>
        <v>0</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308">
        <f t="shared" si="26"/>
        <v>0</v>
      </c>
      <c r="DV735" s="1308"/>
      <c r="DW735" s="1308"/>
      <c r="DX735" s="1308"/>
      <c r="DY735" s="1308"/>
      <c r="DZ735" s="1308">
        <f t="shared" si="27"/>
        <v>0</v>
      </c>
      <c r="EA735" s="1308"/>
      <c r="EB735" s="1308"/>
      <c r="EC735" s="1308"/>
      <c r="ED735" s="1308"/>
      <c r="EE735" s="1308">
        <f t="shared" si="28"/>
        <v>0</v>
      </c>
      <c r="EF735" s="1308"/>
      <c r="EG735" s="1308"/>
      <c r="EH735" s="1308"/>
      <c r="EI735" s="1308"/>
      <c r="EJ735" s="1308">
        <f t="shared" si="29"/>
        <v>0</v>
      </c>
      <c r="EK735" s="1308"/>
      <c r="EL735" s="1308"/>
      <c r="EM735" s="1308"/>
      <c r="EN735" s="1308"/>
      <c r="EO735" s="1308">
        <f t="shared" si="30"/>
        <v>0</v>
      </c>
      <c r="EP735" s="1308"/>
      <c r="EQ735" s="1308"/>
      <c r="ER735" s="1308"/>
      <c r="ES735" s="1308"/>
      <c r="ET735" s="1308">
        <f t="shared" si="31"/>
        <v>0</v>
      </c>
      <c r="EU735" s="1308"/>
      <c r="EV735" s="1308"/>
      <c r="EW735" s="1308"/>
      <c r="EX735" s="1308"/>
      <c r="EY735" s="4"/>
      <c r="EZ735" s="1285" t="str">
        <f t="shared" si="32"/>
        <v/>
      </c>
      <c r="FA735" s="1286"/>
      <c r="FB735" s="1286"/>
      <c r="FC735" s="1286"/>
      <c r="FD735" s="1287"/>
      <c r="FE735" s="1285" t="str">
        <f t="shared" si="33"/>
        <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2.95" customHeight="1">
      <c r="A736" s="4"/>
      <c r="B736" s="1289"/>
      <c r="C736" s="1290"/>
      <c r="D736" s="1290"/>
      <c r="E736" s="1290"/>
      <c r="F736" s="1291"/>
      <c r="G736" s="1298"/>
      <c r="H736" s="1299"/>
      <c r="I736" s="1299"/>
      <c r="J736" s="1300"/>
      <c r="K736" s="1539"/>
      <c r="L736" s="1540"/>
      <c r="M736" s="1540"/>
      <c r="N736" s="1541"/>
      <c r="O736" s="1305"/>
      <c r="P736" s="1306"/>
      <c r="Q736" s="1306"/>
      <c r="R736" s="1306"/>
      <c r="S736" s="1307"/>
      <c r="T736" s="1305"/>
      <c r="U736" s="1306"/>
      <c r="V736" s="1306"/>
      <c r="W736" s="1307"/>
      <c r="X736" s="1292">
        <f t="shared" si="10"/>
        <v>0</v>
      </c>
      <c r="Y736" s="1293"/>
      <c r="Z736" s="1293"/>
      <c r="AA736" s="1293"/>
      <c r="AB736" s="1294"/>
      <c r="AC736" s="1302"/>
      <c r="AD736" s="1303"/>
      <c r="AE736" s="1303"/>
      <c r="AF736" s="1303"/>
      <c r="AG736" s="1304"/>
      <c r="AH736" s="1295" t="str">
        <f t="shared" si="38"/>
        <v/>
      </c>
      <c r="AI736" s="1296"/>
      <c r="AJ736" s="1297"/>
      <c r="AK736" s="1289" t="s">
        <v>590</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39"/>
        <v>0</v>
      </c>
      <c r="CH736" s="1287"/>
      <c r="CI736" s="1274">
        <f t="shared" si="40"/>
        <v>0</v>
      </c>
      <c r="CJ736" s="1276"/>
      <c r="CK736" s="1285">
        <f t="shared" si="18"/>
        <v>0</v>
      </c>
      <c r="CL736" s="1287"/>
      <c r="CM736" s="1274">
        <f t="shared" si="19"/>
        <v>0</v>
      </c>
      <c r="CN736" s="1276"/>
      <c r="CO736" s="3"/>
      <c r="CP736" s="1268">
        <f t="shared" si="20"/>
        <v>0</v>
      </c>
      <c r="CQ736" s="1269"/>
      <c r="CR736" s="1269"/>
      <c r="CS736" s="1269"/>
      <c r="CT736" s="1270"/>
      <c r="CU736" s="1288">
        <f t="shared" si="21"/>
        <v>0</v>
      </c>
      <c r="CV736" s="1288"/>
      <c r="CW736" s="1288"/>
      <c r="CX736" s="1288"/>
      <c r="CY736" s="1288"/>
      <c r="CZ736" s="1288">
        <f t="shared" si="22"/>
        <v>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308">
        <f t="shared" si="26"/>
        <v>0</v>
      </c>
      <c r="DV736" s="1308"/>
      <c r="DW736" s="1308"/>
      <c r="DX736" s="1308"/>
      <c r="DY736" s="1308"/>
      <c r="DZ736" s="1308">
        <f t="shared" si="27"/>
        <v>0</v>
      </c>
      <c r="EA736" s="1308"/>
      <c r="EB736" s="1308"/>
      <c r="EC736" s="1308"/>
      <c r="ED736" s="1308"/>
      <c r="EE736" s="1308">
        <f t="shared" si="28"/>
        <v>0</v>
      </c>
      <c r="EF736" s="1308"/>
      <c r="EG736" s="1308"/>
      <c r="EH736" s="1308"/>
      <c r="EI736" s="1308"/>
      <c r="EJ736" s="1308">
        <f t="shared" si="29"/>
        <v>0</v>
      </c>
      <c r="EK736" s="1308"/>
      <c r="EL736" s="1308"/>
      <c r="EM736" s="1308"/>
      <c r="EN736" s="1308"/>
      <c r="EO736" s="1308">
        <f t="shared" si="30"/>
        <v>0</v>
      </c>
      <c r="EP736" s="1308"/>
      <c r="EQ736" s="1308"/>
      <c r="ER736" s="1308"/>
      <c r="ES736" s="1308"/>
      <c r="ET736" s="1308">
        <f t="shared" si="31"/>
        <v>0</v>
      </c>
      <c r="EU736" s="1308"/>
      <c r="EV736" s="1308"/>
      <c r="EW736" s="1308"/>
      <c r="EX736" s="1308"/>
      <c r="EY736" s="4"/>
      <c r="EZ736" s="1285" t="str">
        <f t="shared" si="32"/>
        <v/>
      </c>
      <c r="FA736" s="1286"/>
      <c r="FB736" s="1286"/>
      <c r="FC736" s="1286"/>
      <c r="FD736" s="1287"/>
      <c r="FE736" s="1285" t="str">
        <f t="shared" si="33"/>
        <v/>
      </c>
      <c r="FF736" s="1286"/>
      <c r="FG736" s="1286"/>
      <c r="FH736" s="1286"/>
      <c r="FI736" s="1287"/>
      <c r="FJ736" s="1285" t="str">
        <f t="shared" si="34"/>
        <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2.95" customHeight="1">
      <c r="A737" s="4"/>
      <c r="B737" s="1289"/>
      <c r="C737" s="1290"/>
      <c r="D737" s="1290"/>
      <c r="E737" s="1290"/>
      <c r="F737" s="1291"/>
      <c r="G737" s="1298"/>
      <c r="H737" s="1299"/>
      <c r="I737" s="1299"/>
      <c r="J737" s="1300"/>
      <c r="K737" s="1539"/>
      <c r="L737" s="1540"/>
      <c r="M737" s="1540"/>
      <c r="N737" s="1541"/>
      <c r="O737" s="1305"/>
      <c r="P737" s="1306"/>
      <c r="Q737" s="1306"/>
      <c r="R737" s="1306"/>
      <c r="S737" s="1307"/>
      <c r="T737" s="1305"/>
      <c r="U737" s="1306"/>
      <c r="V737" s="1306"/>
      <c r="W737" s="1307"/>
      <c r="X737" s="1292">
        <f t="shared" si="10"/>
        <v>0</v>
      </c>
      <c r="Y737" s="1293"/>
      <c r="Z737" s="1293"/>
      <c r="AA737" s="1293"/>
      <c r="AB737" s="1294"/>
      <c r="AC737" s="1302"/>
      <c r="AD737" s="1303"/>
      <c r="AE737" s="1303"/>
      <c r="AF737" s="1303"/>
      <c r="AG737" s="1304"/>
      <c r="AH737" s="1295" t="str">
        <f t="shared" si="38"/>
        <v/>
      </c>
      <c r="AI737" s="1296"/>
      <c r="AJ737" s="1297"/>
      <c r="AK737" s="1289" t="s">
        <v>590</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39"/>
        <v>0</v>
      </c>
      <c r="CH737" s="1287"/>
      <c r="CI737" s="1274">
        <f t="shared" si="40"/>
        <v>0</v>
      </c>
      <c r="CJ737" s="1276"/>
      <c r="CK737" s="1285">
        <f t="shared" si="18"/>
        <v>0</v>
      </c>
      <c r="CL737" s="1287"/>
      <c r="CM737" s="1274">
        <f t="shared" si="19"/>
        <v>0</v>
      </c>
      <c r="CN737" s="1276"/>
      <c r="CO737" s="3"/>
      <c r="CP737" s="1268">
        <f t="shared" si="20"/>
        <v>0</v>
      </c>
      <c r="CQ737" s="1269"/>
      <c r="CR737" s="1269"/>
      <c r="CS737" s="1269"/>
      <c r="CT737" s="1270"/>
      <c r="CU737" s="1288">
        <f t="shared" si="21"/>
        <v>0</v>
      </c>
      <c r="CV737" s="1288"/>
      <c r="CW737" s="1288"/>
      <c r="CX737" s="1288"/>
      <c r="CY737" s="1288"/>
      <c r="CZ737" s="1288">
        <f t="shared" si="22"/>
        <v>0</v>
      </c>
      <c r="DA737" s="1288"/>
      <c r="DB737" s="1288"/>
      <c r="DC737" s="1288"/>
      <c r="DD737" s="1288"/>
      <c r="DE737" s="1288">
        <f t="shared" si="23"/>
        <v>0</v>
      </c>
      <c r="DF737" s="1288"/>
      <c r="DG737" s="1288"/>
      <c r="DH737" s="1288"/>
      <c r="DI737" s="1288"/>
      <c r="DJ737" s="1288">
        <f t="shared" si="24"/>
        <v>0</v>
      </c>
      <c r="DK737" s="1288"/>
      <c r="DL737" s="1288"/>
      <c r="DM737" s="1288"/>
      <c r="DN737" s="1288"/>
      <c r="DO737" s="1288">
        <f t="shared" si="25"/>
        <v>0</v>
      </c>
      <c r="DP737" s="1288"/>
      <c r="DQ737" s="1288"/>
      <c r="DR737" s="1288"/>
      <c r="DS737" s="1288"/>
      <c r="DT737" s="6"/>
      <c r="DU737" s="1308">
        <f t="shared" si="26"/>
        <v>0</v>
      </c>
      <c r="DV737" s="1308"/>
      <c r="DW737" s="1308"/>
      <c r="DX737" s="1308"/>
      <c r="DY737" s="1308"/>
      <c r="DZ737" s="1308">
        <f t="shared" si="27"/>
        <v>0</v>
      </c>
      <c r="EA737" s="1308"/>
      <c r="EB737" s="1308"/>
      <c r="EC737" s="1308"/>
      <c r="ED737" s="1308"/>
      <c r="EE737" s="1308">
        <f t="shared" si="28"/>
        <v>0</v>
      </c>
      <c r="EF737" s="1308"/>
      <c r="EG737" s="1308"/>
      <c r="EH737" s="1308"/>
      <c r="EI737" s="1308"/>
      <c r="EJ737" s="1308">
        <f t="shared" si="29"/>
        <v>0</v>
      </c>
      <c r="EK737" s="1308"/>
      <c r="EL737" s="1308"/>
      <c r="EM737" s="1308"/>
      <c r="EN737" s="1308"/>
      <c r="EO737" s="1308">
        <f t="shared" si="30"/>
        <v>0</v>
      </c>
      <c r="EP737" s="1308"/>
      <c r="EQ737" s="1308"/>
      <c r="ER737" s="1308"/>
      <c r="ES737" s="1308"/>
      <c r="ET737" s="1308">
        <f t="shared" si="31"/>
        <v>0</v>
      </c>
      <c r="EU737" s="1308"/>
      <c r="EV737" s="1308"/>
      <c r="EW737" s="1308"/>
      <c r="EX737" s="1308"/>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t="str">
        <f t="shared" si="35"/>
        <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2.95" customHeight="1">
      <c r="B738" s="1289"/>
      <c r="C738" s="1290"/>
      <c r="D738" s="1290"/>
      <c r="E738" s="1290"/>
      <c r="F738" s="1291"/>
      <c r="G738" s="1298"/>
      <c r="H738" s="1299"/>
      <c r="I738" s="1299"/>
      <c r="J738" s="1300"/>
      <c r="K738" s="1539"/>
      <c r="L738" s="1540"/>
      <c r="M738" s="1540"/>
      <c r="N738" s="1541"/>
      <c r="O738" s="1305"/>
      <c r="P738" s="1306"/>
      <c r="Q738" s="1306"/>
      <c r="R738" s="1306"/>
      <c r="S738" s="1307"/>
      <c r="T738" s="1305"/>
      <c r="U738" s="1306"/>
      <c r="V738" s="1306"/>
      <c r="W738" s="1307"/>
      <c r="X738" s="1292">
        <f t="shared" si="10"/>
        <v>0</v>
      </c>
      <c r="Y738" s="1293"/>
      <c r="Z738" s="1293"/>
      <c r="AA738" s="1293"/>
      <c r="AB738" s="1294"/>
      <c r="AC738" s="1302"/>
      <c r="AD738" s="1303"/>
      <c r="AE738" s="1303"/>
      <c r="AF738" s="1303"/>
      <c r="AG738" s="1304"/>
      <c r="AH738" s="1295" t="str">
        <f t="shared" si="38"/>
        <v/>
      </c>
      <c r="AI738" s="1296"/>
      <c r="AJ738" s="1297"/>
      <c r="AK738" s="1289" t="s">
        <v>590</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39"/>
        <v>0</v>
      </c>
      <c r="CH738" s="1287"/>
      <c r="CI738" s="1274">
        <f t="shared" si="40"/>
        <v>0</v>
      </c>
      <c r="CJ738" s="1276"/>
      <c r="CK738" s="1285">
        <f t="shared" si="18"/>
        <v>0</v>
      </c>
      <c r="CL738" s="1287"/>
      <c r="CM738" s="1274">
        <f t="shared" si="19"/>
        <v>0</v>
      </c>
      <c r="CN738" s="1276"/>
      <c r="CO738" s="3"/>
      <c r="CP738" s="1268">
        <f t="shared" si="20"/>
        <v>0</v>
      </c>
      <c r="CQ738" s="1269"/>
      <c r="CR738" s="1269"/>
      <c r="CS738" s="1269"/>
      <c r="CT738" s="1270"/>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308">
        <f t="shared" si="26"/>
        <v>0</v>
      </c>
      <c r="DV738" s="1308"/>
      <c r="DW738" s="1308"/>
      <c r="DX738" s="1308"/>
      <c r="DY738" s="1308"/>
      <c r="DZ738" s="1308">
        <f t="shared" si="27"/>
        <v>0</v>
      </c>
      <c r="EA738" s="1308"/>
      <c r="EB738" s="1308"/>
      <c r="EC738" s="1308"/>
      <c r="ED738" s="1308"/>
      <c r="EE738" s="1308">
        <f t="shared" si="28"/>
        <v>0</v>
      </c>
      <c r="EF738" s="1308"/>
      <c r="EG738" s="1308"/>
      <c r="EH738" s="1308"/>
      <c r="EI738" s="1308"/>
      <c r="EJ738" s="1308">
        <f t="shared" si="29"/>
        <v>0</v>
      </c>
      <c r="EK738" s="1308"/>
      <c r="EL738" s="1308"/>
      <c r="EM738" s="1308"/>
      <c r="EN738" s="1308"/>
      <c r="EO738" s="1308">
        <f t="shared" si="30"/>
        <v>0</v>
      </c>
      <c r="EP738" s="1308"/>
      <c r="EQ738" s="1308"/>
      <c r="ER738" s="1308"/>
      <c r="ES738" s="1308"/>
      <c r="ET738" s="1308">
        <f t="shared" si="31"/>
        <v>0</v>
      </c>
      <c r="EU738" s="1308"/>
      <c r="EV738" s="1308"/>
      <c r="EW738" s="1308"/>
      <c r="EX738" s="1308"/>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2.95" customHeight="1">
      <c r="B739" s="1289"/>
      <c r="C739" s="1290"/>
      <c r="D739" s="1290"/>
      <c r="E739" s="1290"/>
      <c r="F739" s="1291"/>
      <c r="G739" s="1298"/>
      <c r="H739" s="1299"/>
      <c r="I739" s="1299"/>
      <c r="J739" s="1300"/>
      <c r="K739" s="1539"/>
      <c r="L739" s="1540"/>
      <c r="M739" s="1540"/>
      <c r="N739" s="1541"/>
      <c r="O739" s="1305"/>
      <c r="P739" s="1306"/>
      <c r="Q739" s="1306"/>
      <c r="R739" s="1306"/>
      <c r="S739" s="1307"/>
      <c r="T739" s="1305"/>
      <c r="U739" s="1306"/>
      <c r="V739" s="1306"/>
      <c r="W739" s="1307"/>
      <c r="X739" s="1292">
        <f t="shared" si="10"/>
        <v>0</v>
      </c>
      <c r="Y739" s="1293"/>
      <c r="Z739" s="1293"/>
      <c r="AA739" s="1293"/>
      <c r="AB739" s="1294"/>
      <c r="AC739" s="1302"/>
      <c r="AD739" s="1303"/>
      <c r="AE739" s="1303"/>
      <c r="AF739" s="1303"/>
      <c r="AG739" s="1304"/>
      <c r="AH739" s="1295" t="str">
        <f t="shared" si="38"/>
        <v/>
      </c>
      <c r="AI739" s="1296"/>
      <c r="AJ739" s="1297"/>
      <c r="AK739" s="1289" t="s">
        <v>590</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39"/>
        <v>0</v>
      </c>
      <c r="CH739" s="1287"/>
      <c r="CI739" s="1274">
        <f t="shared" si="40"/>
        <v>0</v>
      </c>
      <c r="CJ739" s="1276"/>
      <c r="CK739" s="1285">
        <f t="shared" si="18"/>
        <v>0</v>
      </c>
      <c r="CL739" s="1287"/>
      <c r="CM739" s="1274">
        <f t="shared" si="19"/>
        <v>0</v>
      </c>
      <c r="CN739" s="1276"/>
      <c r="CO739" s="3"/>
      <c r="CP739" s="1268">
        <f t="shared" si="20"/>
        <v>0</v>
      </c>
      <c r="CQ739" s="1269"/>
      <c r="CR739" s="1269"/>
      <c r="CS739" s="1269"/>
      <c r="CT739" s="1270"/>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308">
        <f t="shared" si="26"/>
        <v>0</v>
      </c>
      <c r="DV739" s="1308"/>
      <c r="DW739" s="1308"/>
      <c r="DX739" s="1308"/>
      <c r="DY739" s="1308"/>
      <c r="DZ739" s="1308">
        <f t="shared" si="27"/>
        <v>0</v>
      </c>
      <c r="EA739" s="1308"/>
      <c r="EB739" s="1308"/>
      <c r="EC739" s="1308"/>
      <c r="ED739" s="1308"/>
      <c r="EE739" s="1308">
        <f t="shared" si="28"/>
        <v>0</v>
      </c>
      <c r="EF739" s="1308"/>
      <c r="EG739" s="1308"/>
      <c r="EH739" s="1308"/>
      <c r="EI739" s="1308"/>
      <c r="EJ739" s="1308">
        <f t="shared" si="29"/>
        <v>0</v>
      </c>
      <c r="EK739" s="1308"/>
      <c r="EL739" s="1308"/>
      <c r="EM739" s="1308"/>
      <c r="EN739" s="1308"/>
      <c r="EO739" s="1308">
        <f t="shared" si="30"/>
        <v>0</v>
      </c>
      <c r="EP739" s="1308"/>
      <c r="EQ739" s="1308"/>
      <c r="ER739" s="1308"/>
      <c r="ES739" s="1308"/>
      <c r="ET739" s="1308">
        <f t="shared" si="31"/>
        <v>0</v>
      </c>
      <c r="EU739" s="1308"/>
      <c r="EV739" s="1308"/>
      <c r="EW739" s="1308"/>
      <c r="EX739" s="1308"/>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2.95" customHeight="1">
      <c r="B740" s="1289"/>
      <c r="C740" s="1290"/>
      <c r="D740" s="1290"/>
      <c r="E740" s="1290"/>
      <c r="F740" s="1291"/>
      <c r="G740" s="1298"/>
      <c r="H740" s="1299"/>
      <c r="I740" s="1299"/>
      <c r="J740" s="1300"/>
      <c r="K740" s="1539"/>
      <c r="L740" s="1540"/>
      <c r="M740" s="1540"/>
      <c r="N740" s="1541"/>
      <c r="O740" s="1305"/>
      <c r="P740" s="1306"/>
      <c r="Q740" s="1306"/>
      <c r="R740" s="1306"/>
      <c r="S740" s="1307"/>
      <c r="T740" s="1305"/>
      <c r="U740" s="1306"/>
      <c r="V740" s="1306"/>
      <c r="W740" s="1307"/>
      <c r="X740" s="1292">
        <f t="shared" si="10"/>
        <v>0</v>
      </c>
      <c r="Y740" s="1293"/>
      <c r="Z740" s="1293"/>
      <c r="AA740" s="1293"/>
      <c r="AB740" s="1294"/>
      <c r="AC740" s="1302"/>
      <c r="AD740" s="1303"/>
      <c r="AE740" s="1303"/>
      <c r="AF740" s="1303"/>
      <c r="AG740" s="1304"/>
      <c r="AH740" s="1295" t="str">
        <f t="shared" si="38"/>
        <v/>
      </c>
      <c r="AI740" s="1296"/>
      <c r="AJ740" s="1297"/>
      <c r="AK740" s="1289" t="s">
        <v>590</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39"/>
        <v>0</v>
      </c>
      <c r="CH740" s="1287"/>
      <c r="CI740" s="1274">
        <f t="shared" si="40"/>
        <v>0</v>
      </c>
      <c r="CJ740" s="1276"/>
      <c r="CK740" s="1285">
        <f t="shared" si="18"/>
        <v>0</v>
      </c>
      <c r="CL740" s="1287"/>
      <c r="CM740" s="1274">
        <f t="shared" si="19"/>
        <v>0</v>
      </c>
      <c r="CN740" s="1276"/>
      <c r="CO740" s="3"/>
      <c r="CP740" s="1268">
        <f t="shared" si="20"/>
        <v>0</v>
      </c>
      <c r="CQ740" s="1269"/>
      <c r="CR740" s="1269"/>
      <c r="CS740" s="1269"/>
      <c r="CT740" s="1270"/>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308">
        <f t="shared" si="26"/>
        <v>0</v>
      </c>
      <c r="DV740" s="1308"/>
      <c r="DW740" s="1308"/>
      <c r="DX740" s="1308"/>
      <c r="DY740" s="1308"/>
      <c r="DZ740" s="1308">
        <f t="shared" si="27"/>
        <v>0</v>
      </c>
      <c r="EA740" s="1308"/>
      <c r="EB740" s="1308"/>
      <c r="EC740" s="1308"/>
      <c r="ED740" s="1308"/>
      <c r="EE740" s="1308">
        <f t="shared" si="28"/>
        <v>0</v>
      </c>
      <c r="EF740" s="1308"/>
      <c r="EG740" s="1308"/>
      <c r="EH740" s="1308"/>
      <c r="EI740" s="1308"/>
      <c r="EJ740" s="1308">
        <f t="shared" si="29"/>
        <v>0</v>
      </c>
      <c r="EK740" s="1308"/>
      <c r="EL740" s="1308"/>
      <c r="EM740" s="1308"/>
      <c r="EN740" s="1308"/>
      <c r="EO740" s="1308">
        <f t="shared" si="30"/>
        <v>0</v>
      </c>
      <c r="EP740" s="1308"/>
      <c r="EQ740" s="1308"/>
      <c r="ER740" s="1308"/>
      <c r="ES740" s="1308"/>
      <c r="ET740" s="1308">
        <f t="shared" si="31"/>
        <v>0</v>
      </c>
      <c r="EU740" s="1308"/>
      <c r="EV740" s="1308"/>
      <c r="EW740" s="1308"/>
      <c r="EX740" s="1308"/>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2.95" customHeight="1">
      <c r="B741" s="1289"/>
      <c r="C741" s="1290"/>
      <c r="D741" s="1290"/>
      <c r="E741" s="1290"/>
      <c r="F741" s="1291"/>
      <c r="G741" s="1298"/>
      <c r="H741" s="1299"/>
      <c r="I741" s="1299"/>
      <c r="J741" s="1300"/>
      <c r="K741" s="1539"/>
      <c r="L741" s="1540"/>
      <c r="M741" s="1540"/>
      <c r="N741" s="1541"/>
      <c r="O741" s="1305"/>
      <c r="P741" s="1306"/>
      <c r="Q741" s="1306"/>
      <c r="R741" s="1306"/>
      <c r="S741" s="1307"/>
      <c r="T741" s="1305"/>
      <c r="U741" s="1306"/>
      <c r="V741" s="1306"/>
      <c r="W741" s="1307"/>
      <c r="X741" s="1292">
        <f t="shared" si="10"/>
        <v>0</v>
      </c>
      <c r="Y741" s="1293"/>
      <c r="Z741" s="1293"/>
      <c r="AA741" s="1293"/>
      <c r="AB741" s="1294"/>
      <c r="AC741" s="1302"/>
      <c r="AD741" s="1303"/>
      <c r="AE741" s="1303"/>
      <c r="AF741" s="1303"/>
      <c r="AG741" s="1304"/>
      <c r="AH741" s="1295" t="str">
        <f t="shared" si="38"/>
        <v/>
      </c>
      <c r="AI741" s="1296"/>
      <c r="AJ741" s="1297"/>
      <c r="AK741" s="1289" t="s">
        <v>590</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39"/>
        <v>0</v>
      </c>
      <c r="CH741" s="1287"/>
      <c r="CI741" s="1274">
        <f t="shared" si="40"/>
        <v>0</v>
      </c>
      <c r="CJ741" s="1276"/>
      <c r="CK741" s="1285">
        <f t="shared" si="18"/>
        <v>0</v>
      </c>
      <c r="CL741" s="1287"/>
      <c r="CM741" s="1274">
        <f t="shared" si="19"/>
        <v>0</v>
      </c>
      <c r="CN741" s="1276"/>
      <c r="CO741" s="3"/>
      <c r="CP741" s="1268">
        <f t="shared" si="20"/>
        <v>0</v>
      </c>
      <c r="CQ741" s="1269"/>
      <c r="CR741" s="1269"/>
      <c r="CS741" s="1269"/>
      <c r="CT741" s="1270"/>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308">
        <f t="shared" si="26"/>
        <v>0</v>
      </c>
      <c r="DV741" s="1308"/>
      <c r="DW741" s="1308"/>
      <c r="DX741" s="1308"/>
      <c r="DY741" s="1308"/>
      <c r="DZ741" s="1308">
        <f t="shared" si="27"/>
        <v>0</v>
      </c>
      <c r="EA741" s="1308"/>
      <c r="EB741" s="1308"/>
      <c r="EC741" s="1308"/>
      <c r="ED741" s="1308"/>
      <c r="EE741" s="1308">
        <f t="shared" si="28"/>
        <v>0</v>
      </c>
      <c r="EF741" s="1308"/>
      <c r="EG741" s="1308"/>
      <c r="EH741" s="1308"/>
      <c r="EI741" s="1308"/>
      <c r="EJ741" s="1308">
        <f t="shared" si="29"/>
        <v>0</v>
      </c>
      <c r="EK741" s="1308"/>
      <c r="EL741" s="1308"/>
      <c r="EM741" s="1308"/>
      <c r="EN741" s="1308"/>
      <c r="EO741" s="1308">
        <f t="shared" si="30"/>
        <v>0</v>
      </c>
      <c r="EP741" s="1308"/>
      <c r="EQ741" s="1308"/>
      <c r="ER741" s="1308"/>
      <c r="ES741" s="1308"/>
      <c r="ET741" s="1308">
        <f t="shared" si="31"/>
        <v>0</v>
      </c>
      <c r="EU741" s="1308"/>
      <c r="EV741" s="1308"/>
      <c r="EW741" s="1308"/>
      <c r="EX741" s="1308"/>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2.95" customHeight="1">
      <c r="B742" s="1289"/>
      <c r="C742" s="1290"/>
      <c r="D742" s="1290"/>
      <c r="E742" s="1290"/>
      <c r="F742" s="1291"/>
      <c r="G742" s="1298"/>
      <c r="H742" s="1299"/>
      <c r="I742" s="1299"/>
      <c r="J742" s="1300"/>
      <c r="K742" s="1539"/>
      <c r="L742" s="1540"/>
      <c r="M742" s="1540"/>
      <c r="N742" s="1541"/>
      <c r="O742" s="1305"/>
      <c r="P742" s="1306"/>
      <c r="Q742" s="1306"/>
      <c r="R742" s="1306"/>
      <c r="S742" s="1307"/>
      <c r="T742" s="1305"/>
      <c r="U742" s="1306"/>
      <c r="V742" s="1306"/>
      <c r="W742" s="1307"/>
      <c r="X742" s="1292">
        <f t="shared" si="10"/>
        <v>0</v>
      </c>
      <c r="Y742" s="1293"/>
      <c r="Z742" s="1293"/>
      <c r="AA742" s="1293"/>
      <c r="AB742" s="1294"/>
      <c r="AC742" s="1302"/>
      <c r="AD742" s="1303"/>
      <c r="AE742" s="1303"/>
      <c r="AF742" s="1303"/>
      <c r="AG742" s="1304"/>
      <c r="AH742" s="1295" t="str">
        <f t="shared" si="38"/>
        <v/>
      </c>
      <c r="AI742" s="1296"/>
      <c r="AJ742" s="1297"/>
      <c r="AK742" s="1289" t="s">
        <v>590</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39"/>
        <v>0</v>
      </c>
      <c r="CH742" s="1287"/>
      <c r="CI742" s="1274">
        <f t="shared" si="40"/>
        <v>0</v>
      </c>
      <c r="CJ742" s="1276"/>
      <c r="CK742" s="1285">
        <f t="shared" si="18"/>
        <v>0</v>
      </c>
      <c r="CL742" s="1287"/>
      <c r="CM742" s="1274">
        <f t="shared" si="19"/>
        <v>0</v>
      </c>
      <c r="CN742" s="1276"/>
      <c r="CO742" s="3"/>
      <c r="CP742" s="1268">
        <f t="shared" si="20"/>
        <v>0</v>
      </c>
      <c r="CQ742" s="1269"/>
      <c r="CR742" s="1269"/>
      <c r="CS742" s="1269"/>
      <c r="CT742" s="1270"/>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308">
        <f t="shared" si="26"/>
        <v>0</v>
      </c>
      <c r="DV742" s="1308"/>
      <c r="DW742" s="1308"/>
      <c r="DX742" s="1308"/>
      <c r="DY742" s="1308"/>
      <c r="DZ742" s="1308">
        <f t="shared" si="27"/>
        <v>0</v>
      </c>
      <c r="EA742" s="1308"/>
      <c r="EB742" s="1308"/>
      <c r="EC742" s="1308"/>
      <c r="ED742" s="1308"/>
      <c r="EE742" s="1308">
        <f t="shared" si="28"/>
        <v>0</v>
      </c>
      <c r="EF742" s="1308"/>
      <c r="EG742" s="1308"/>
      <c r="EH742" s="1308"/>
      <c r="EI742" s="1308"/>
      <c r="EJ742" s="1308">
        <f t="shared" si="29"/>
        <v>0</v>
      </c>
      <c r="EK742" s="1308"/>
      <c r="EL742" s="1308"/>
      <c r="EM742" s="1308"/>
      <c r="EN742" s="1308"/>
      <c r="EO742" s="1308">
        <f t="shared" si="30"/>
        <v>0</v>
      </c>
      <c r="EP742" s="1308"/>
      <c r="EQ742" s="1308"/>
      <c r="ER742" s="1308"/>
      <c r="ES742" s="1308"/>
      <c r="ET742" s="1308">
        <f t="shared" si="31"/>
        <v>0</v>
      </c>
      <c r="EU742" s="1308"/>
      <c r="EV742" s="1308"/>
      <c r="EW742" s="1308"/>
      <c r="EX742" s="1308"/>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2.95" customHeight="1">
      <c r="B743" s="1289"/>
      <c r="C743" s="1290"/>
      <c r="D743" s="1290"/>
      <c r="E743" s="1290"/>
      <c r="F743" s="1291"/>
      <c r="G743" s="1298"/>
      <c r="H743" s="1299"/>
      <c r="I743" s="1299"/>
      <c r="J743" s="1300"/>
      <c r="K743" s="1539"/>
      <c r="L743" s="1540"/>
      <c r="M743" s="1540"/>
      <c r="N743" s="1541"/>
      <c r="O743" s="1305"/>
      <c r="P743" s="1306"/>
      <c r="Q743" s="1306"/>
      <c r="R743" s="1306"/>
      <c r="S743" s="1307"/>
      <c r="T743" s="1305"/>
      <c r="U743" s="1306"/>
      <c r="V743" s="1306"/>
      <c r="W743" s="1307"/>
      <c r="X743" s="1292">
        <f t="shared" si="10"/>
        <v>0</v>
      </c>
      <c r="Y743" s="1293"/>
      <c r="Z743" s="1293"/>
      <c r="AA743" s="1293"/>
      <c r="AB743" s="1294"/>
      <c r="AC743" s="1302"/>
      <c r="AD743" s="1303"/>
      <c r="AE743" s="1303"/>
      <c r="AF743" s="1303"/>
      <c r="AG743" s="1304"/>
      <c r="AH743" s="1295" t="str">
        <f t="shared" si="38"/>
        <v/>
      </c>
      <c r="AI743" s="1296"/>
      <c r="AJ743" s="1297"/>
      <c r="AK743" s="1289" t="s">
        <v>590</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39"/>
        <v>0</v>
      </c>
      <c r="CH743" s="1287"/>
      <c r="CI743" s="1274">
        <f t="shared" si="40"/>
        <v>0</v>
      </c>
      <c r="CJ743" s="1276"/>
      <c r="CK743" s="1285">
        <f t="shared" si="18"/>
        <v>0</v>
      </c>
      <c r="CL743" s="1287"/>
      <c r="CM743" s="1274">
        <f t="shared" si="19"/>
        <v>0</v>
      </c>
      <c r="CN743" s="1276"/>
      <c r="CO743" s="3"/>
      <c r="CP743" s="1268">
        <f t="shared" si="20"/>
        <v>0</v>
      </c>
      <c r="CQ743" s="1269"/>
      <c r="CR743" s="1269"/>
      <c r="CS743" s="1269"/>
      <c r="CT743" s="1270"/>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308">
        <f t="shared" si="26"/>
        <v>0</v>
      </c>
      <c r="DV743" s="1308"/>
      <c r="DW743" s="1308"/>
      <c r="DX743" s="1308"/>
      <c r="DY743" s="1308"/>
      <c r="DZ743" s="1308">
        <f t="shared" si="27"/>
        <v>0</v>
      </c>
      <c r="EA743" s="1308"/>
      <c r="EB743" s="1308"/>
      <c r="EC743" s="1308"/>
      <c r="ED743" s="1308"/>
      <c r="EE743" s="1308">
        <f t="shared" si="28"/>
        <v>0</v>
      </c>
      <c r="EF743" s="1308"/>
      <c r="EG743" s="1308"/>
      <c r="EH743" s="1308"/>
      <c r="EI743" s="1308"/>
      <c r="EJ743" s="1308">
        <f t="shared" si="29"/>
        <v>0</v>
      </c>
      <c r="EK743" s="1308"/>
      <c r="EL743" s="1308"/>
      <c r="EM743" s="1308"/>
      <c r="EN743" s="1308"/>
      <c r="EO743" s="1308">
        <f t="shared" si="30"/>
        <v>0</v>
      </c>
      <c r="EP743" s="1308"/>
      <c r="EQ743" s="1308"/>
      <c r="ER743" s="1308"/>
      <c r="ES743" s="1308"/>
      <c r="ET743" s="1308">
        <f t="shared" si="31"/>
        <v>0</v>
      </c>
      <c r="EU743" s="1308"/>
      <c r="EV743" s="1308"/>
      <c r="EW743" s="1308"/>
      <c r="EX743" s="1308"/>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2.95" customHeight="1">
      <c r="B744" s="1289"/>
      <c r="C744" s="1290"/>
      <c r="D744" s="1290"/>
      <c r="E744" s="1290"/>
      <c r="F744" s="1291"/>
      <c r="G744" s="1298"/>
      <c r="H744" s="1299"/>
      <c r="I744" s="1299"/>
      <c r="J744" s="1300"/>
      <c r="K744" s="1539"/>
      <c r="L744" s="1540"/>
      <c r="M744" s="1540"/>
      <c r="N744" s="1541"/>
      <c r="O744" s="1305"/>
      <c r="P744" s="1306"/>
      <c r="Q744" s="1306"/>
      <c r="R744" s="1306"/>
      <c r="S744" s="1307"/>
      <c r="T744" s="1305"/>
      <c r="U744" s="1306"/>
      <c r="V744" s="1306"/>
      <c r="W744" s="1307"/>
      <c r="X744" s="1292">
        <f t="shared" si="10"/>
        <v>0</v>
      </c>
      <c r="Y744" s="1293"/>
      <c r="Z744" s="1293"/>
      <c r="AA744" s="1293"/>
      <c r="AB744" s="1294"/>
      <c r="AC744" s="1302"/>
      <c r="AD744" s="1303"/>
      <c r="AE744" s="1303"/>
      <c r="AF744" s="1303"/>
      <c r="AG744" s="1304"/>
      <c r="AH744" s="1295" t="str">
        <f t="shared" si="38"/>
        <v/>
      </c>
      <c r="AI744" s="1296"/>
      <c r="AJ744" s="1297"/>
      <c r="AK744" s="1289" t="s">
        <v>590</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39"/>
        <v>0</v>
      </c>
      <c r="CH744" s="1287"/>
      <c r="CI744" s="1274">
        <f t="shared" si="40"/>
        <v>0</v>
      </c>
      <c r="CJ744" s="1276"/>
      <c r="CK744" s="1285">
        <f t="shared" si="18"/>
        <v>0</v>
      </c>
      <c r="CL744" s="1287"/>
      <c r="CM744" s="1274">
        <f t="shared" si="19"/>
        <v>0</v>
      </c>
      <c r="CN744" s="1276"/>
      <c r="CO744" s="3"/>
      <c r="CP744" s="1268">
        <f t="shared" si="20"/>
        <v>0</v>
      </c>
      <c r="CQ744" s="1269"/>
      <c r="CR744" s="1269"/>
      <c r="CS744" s="1269"/>
      <c r="CT744" s="1270"/>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308">
        <f t="shared" si="26"/>
        <v>0</v>
      </c>
      <c r="DV744" s="1308"/>
      <c r="DW744" s="1308"/>
      <c r="DX744" s="1308"/>
      <c r="DY744" s="1308"/>
      <c r="DZ744" s="1308">
        <f t="shared" si="27"/>
        <v>0</v>
      </c>
      <c r="EA744" s="1308"/>
      <c r="EB744" s="1308"/>
      <c r="EC744" s="1308"/>
      <c r="ED744" s="1308"/>
      <c r="EE744" s="1308">
        <f t="shared" si="28"/>
        <v>0</v>
      </c>
      <c r="EF744" s="1308"/>
      <c r="EG744" s="1308"/>
      <c r="EH744" s="1308"/>
      <c r="EI744" s="1308"/>
      <c r="EJ744" s="1308">
        <f t="shared" si="29"/>
        <v>0</v>
      </c>
      <c r="EK744" s="1308"/>
      <c r="EL744" s="1308"/>
      <c r="EM744" s="1308"/>
      <c r="EN744" s="1308"/>
      <c r="EO744" s="1308">
        <f t="shared" si="30"/>
        <v>0</v>
      </c>
      <c r="EP744" s="1308"/>
      <c r="EQ744" s="1308"/>
      <c r="ER744" s="1308"/>
      <c r="ES744" s="1308"/>
      <c r="ET744" s="1308">
        <f t="shared" si="31"/>
        <v>0</v>
      </c>
      <c r="EU744" s="1308"/>
      <c r="EV744" s="1308"/>
      <c r="EW744" s="1308"/>
      <c r="EX744" s="1308"/>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2.95" customHeight="1">
      <c r="B745" s="1289"/>
      <c r="C745" s="1290"/>
      <c r="D745" s="1290"/>
      <c r="E745" s="1290"/>
      <c r="F745" s="1291"/>
      <c r="G745" s="1298"/>
      <c r="H745" s="1299"/>
      <c r="I745" s="1299"/>
      <c r="J745" s="1300"/>
      <c r="K745" s="1539"/>
      <c r="L745" s="1540"/>
      <c r="M745" s="1540"/>
      <c r="N745" s="1541"/>
      <c r="O745" s="1305"/>
      <c r="P745" s="1306"/>
      <c r="Q745" s="1306"/>
      <c r="R745" s="1306"/>
      <c r="S745" s="1307"/>
      <c r="T745" s="1305"/>
      <c r="U745" s="1306"/>
      <c r="V745" s="1306"/>
      <c r="W745" s="1307"/>
      <c r="X745" s="1292">
        <f t="shared" si="10"/>
        <v>0</v>
      </c>
      <c r="Y745" s="1293"/>
      <c r="Z745" s="1293"/>
      <c r="AA745" s="1293"/>
      <c r="AB745" s="1294"/>
      <c r="AC745" s="1302"/>
      <c r="AD745" s="1303"/>
      <c r="AE745" s="1303"/>
      <c r="AF745" s="1303"/>
      <c r="AG745" s="1304"/>
      <c r="AH745" s="1295" t="str">
        <f t="shared" si="38"/>
        <v/>
      </c>
      <c r="AI745" s="1296"/>
      <c r="AJ745" s="1297"/>
      <c r="AK745" s="1289" t="s">
        <v>590</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39"/>
        <v>0</v>
      </c>
      <c r="CH745" s="1287"/>
      <c r="CI745" s="1274">
        <f t="shared" si="40"/>
        <v>0</v>
      </c>
      <c r="CJ745" s="1276"/>
      <c r="CK745" s="1285">
        <f t="shared" si="18"/>
        <v>0</v>
      </c>
      <c r="CL745" s="1287"/>
      <c r="CM745" s="1274">
        <f t="shared" si="19"/>
        <v>0</v>
      </c>
      <c r="CN745" s="1276"/>
      <c r="CO745" s="3"/>
      <c r="CP745" s="1268">
        <f t="shared" si="20"/>
        <v>0</v>
      </c>
      <c r="CQ745" s="1269"/>
      <c r="CR745" s="1269"/>
      <c r="CS745" s="1269"/>
      <c r="CT745" s="1270"/>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308">
        <f t="shared" si="26"/>
        <v>0</v>
      </c>
      <c r="DV745" s="1308"/>
      <c r="DW745" s="1308"/>
      <c r="DX745" s="1308"/>
      <c r="DY745" s="1308"/>
      <c r="DZ745" s="1308">
        <f t="shared" si="27"/>
        <v>0</v>
      </c>
      <c r="EA745" s="1308"/>
      <c r="EB745" s="1308"/>
      <c r="EC745" s="1308"/>
      <c r="ED745" s="1308"/>
      <c r="EE745" s="1308">
        <f t="shared" si="28"/>
        <v>0</v>
      </c>
      <c r="EF745" s="1308"/>
      <c r="EG745" s="1308"/>
      <c r="EH745" s="1308"/>
      <c r="EI745" s="1308"/>
      <c r="EJ745" s="1308">
        <f t="shared" si="29"/>
        <v>0</v>
      </c>
      <c r="EK745" s="1308"/>
      <c r="EL745" s="1308"/>
      <c r="EM745" s="1308"/>
      <c r="EN745" s="1308"/>
      <c r="EO745" s="1308">
        <f t="shared" si="30"/>
        <v>0</v>
      </c>
      <c r="EP745" s="1308"/>
      <c r="EQ745" s="1308"/>
      <c r="ER745" s="1308"/>
      <c r="ES745" s="1308"/>
      <c r="ET745" s="1308">
        <f t="shared" si="31"/>
        <v>0</v>
      </c>
      <c r="EU745" s="1308"/>
      <c r="EV745" s="1308"/>
      <c r="EW745" s="1308"/>
      <c r="EX745" s="1308"/>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2.95" customHeight="1">
      <c r="B746" s="1289"/>
      <c r="C746" s="1290"/>
      <c r="D746" s="1290"/>
      <c r="E746" s="1290"/>
      <c r="F746" s="1291"/>
      <c r="G746" s="1298"/>
      <c r="H746" s="1299"/>
      <c r="I746" s="1299"/>
      <c r="J746" s="1300"/>
      <c r="K746" s="1539"/>
      <c r="L746" s="1540"/>
      <c r="M746" s="1540"/>
      <c r="N746" s="1541"/>
      <c r="O746" s="1305"/>
      <c r="P746" s="1306"/>
      <c r="Q746" s="1306"/>
      <c r="R746" s="1306"/>
      <c r="S746" s="1307"/>
      <c r="T746" s="1305"/>
      <c r="U746" s="1306"/>
      <c r="V746" s="1306"/>
      <c r="W746" s="1307"/>
      <c r="X746" s="1292">
        <f t="shared" si="10"/>
        <v>0</v>
      </c>
      <c r="Y746" s="1293"/>
      <c r="Z746" s="1293"/>
      <c r="AA746" s="1293"/>
      <c r="AB746" s="1294"/>
      <c r="AC746" s="1302"/>
      <c r="AD746" s="1303"/>
      <c r="AE746" s="1303"/>
      <c r="AF746" s="1303"/>
      <c r="AG746" s="1304"/>
      <c r="AH746" s="1295" t="str">
        <f t="shared" si="38"/>
        <v/>
      </c>
      <c r="AI746" s="1296"/>
      <c r="AJ746" s="1297"/>
      <c r="AK746" s="1289" t="s">
        <v>590</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39"/>
        <v>0</v>
      </c>
      <c r="CH746" s="1287"/>
      <c r="CI746" s="1274">
        <f t="shared" si="40"/>
        <v>0</v>
      </c>
      <c r="CJ746" s="1276"/>
      <c r="CK746" s="1285">
        <f t="shared" si="18"/>
        <v>0</v>
      </c>
      <c r="CL746" s="1287"/>
      <c r="CM746" s="1274">
        <f t="shared" si="19"/>
        <v>0</v>
      </c>
      <c r="CN746" s="1276"/>
      <c r="CO746" s="3"/>
      <c r="CP746" s="1268">
        <f t="shared" si="20"/>
        <v>0</v>
      </c>
      <c r="CQ746" s="1269"/>
      <c r="CR746" s="1269"/>
      <c r="CS746" s="1269"/>
      <c r="CT746" s="1270"/>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308">
        <f t="shared" si="26"/>
        <v>0</v>
      </c>
      <c r="DV746" s="1308"/>
      <c r="DW746" s="1308"/>
      <c r="DX746" s="1308"/>
      <c r="DY746" s="1308"/>
      <c r="DZ746" s="1308">
        <f t="shared" si="27"/>
        <v>0</v>
      </c>
      <c r="EA746" s="1308"/>
      <c r="EB746" s="1308"/>
      <c r="EC746" s="1308"/>
      <c r="ED746" s="1308"/>
      <c r="EE746" s="1308">
        <f t="shared" si="28"/>
        <v>0</v>
      </c>
      <c r="EF746" s="1308"/>
      <c r="EG746" s="1308"/>
      <c r="EH746" s="1308"/>
      <c r="EI746" s="1308"/>
      <c r="EJ746" s="1308">
        <f t="shared" si="29"/>
        <v>0</v>
      </c>
      <c r="EK746" s="1308"/>
      <c r="EL746" s="1308"/>
      <c r="EM746" s="1308"/>
      <c r="EN746" s="1308"/>
      <c r="EO746" s="1308">
        <f t="shared" si="30"/>
        <v>0</v>
      </c>
      <c r="EP746" s="1308"/>
      <c r="EQ746" s="1308"/>
      <c r="ER746" s="1308"/>
      <c r="ES746" s="1308"/>
      <c r="ET746" s="1308">
        <f t="shared" si="31"/>
        <v>0</v>
      </c>
      <c r="EU746" s="1308"/>
      <c r="EV746" s="1308"/>
      <c r="EW746" s="1308"/>
      <c r="EX746" s="1308"/>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2.95" customHeight="1">
      <c r="B747" s="1289"/>
      <c r="C747" s="1290"/>
      <c r="D747" s="1290"/>
      <c r="E747" s="1290"/>
      <c r="F747" s="1291"/>
      <c r="G747" s="1298"/>
      <c r="H747" s="1299"/>
      <c r="I747" s="1299"/>
      <c r="J747" s="1300"/>
      <c r="K747" s="1539"/>
      <c r="L747" s="1540"/>
      <c r="M747" s="1540"/>
      <c r="N747" s="1541"/>
      <c r="O747" s="1305"/>
      <c r="P747" s="1306"/>
      <c r="Q747" s="1306"/>
      <c r="R747" s="1306"/>
      <c r="S747" s="1307"/>
      <c r="T747" s="1305"/>
      <c r="U747" s="1306"/>
      <c r="V747" s="1306"/>
      <c r="W747" s="1307"/>
      <c r="X747" s="1292">
        <f t="shared" si="10"/>
        <v>0</v>
      </c>
      <c r="Y747" s="1293"/>
      <c r="Z747" s="1293"/>
      <c r="AA747" s="1293"/>
      <c r="AB747" s="1294"/>
      <c r="AC747" s="1302"/>
      <c r="AD747" s="1303"/>
      <c r="AE747" s="1303"/>
      <c r="AF747" s="1303"/>
      <c r="AG747" s="1304"/>
      <c r="AH747" s="1295" t="str">
        <f t="shared" si="38"/>
        <v/>
      </c>
      <c r="AI747" s="1296"/>
      <c r="AJ747" s="1297"/>
      <c r="AK747" s="1289" t="s">
        <v>590</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39"/>
        <v>0</v>
      </c>
      <c r="CH747" s="1287"/>
      <c r="CI747" s="1274">
        <f t="shared" si="40"/>
        <v>0</v>
      </c>
      <c r="CJ747" s="1276"/>
      <c r="CK747" s="1285">
        <f t="shared" si="18"/>
        <v>0</v>
      </c>
      <c r="CL747" s="1287"/>
      <c r="CM747" s="1274">
        <f t="shared" si="19"/>
        <v>0</v>
      </c>
      <c r="CN747" s="1276"/>
      <c r="CO747" s="3"/>
      <c r="CP747" s="1268">
        <f t="shared" si="20"/>
        <v>0</v>
      </c>
      <c r="CQ747" s="1269"/>
      <c r="CR747" s="1269"/>
      <c r="CS747" s="1269"/>
      <c r="CT747" s="1270"/>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308">
        <f t="shared" si="26"/>
        <v>0</v>
      </c>
      <c r="DV747" s="1308"/>
      <c r="DW747" s="1308"/>
      <c r="DX747" s="1308"/>
      <c r="DY747" s="1308"/>
      <c r="DZ747" s="1308">
        <f t="shared" si="27"/>
        <v>0</v>
      </c>
      <c r="EA747" s="1308"/>
      <c r="EB747" s="1308"/>
      <c r="EC747" s="1308"/>
      <c r="ED747" s="1308"/>
      <c r="EE747" s="1308">
        <f t="shared" si="28"/>
        <v>0</v>
      </c>
      <c r="EF747" s="1308"/>
      <c r="EG747" s="1308"/>
      <c r="EH747" s="1308"/>
      <c r="EI747" s="1308"/>
      <c r="EJ747" s="1308">
        <f t="shared" si="29"/>
        <v>0</v>
      </c>
      <c r="EK747" s="1308"/>
      <c r="EL747" s="1308"/>
      <c r="EM747" s="1308"/>
      <c r="EN747" s="1308"/>
      <c r="EO747" s="1308">
        <f t="shared" si="30"/>
        <v>0</v>
      </c>
      <c r="EP747" s="1308"/>
      <c r="EQ747" s="1308"/>
      <c r="ER747" s="1308"/>
      <c r="ES747" s="1308"/>
      <c r="ET747" s="1308">
        <f t="shared" si="31"/>
        <v>0</v>
      </c>
      <c r="EU747" s="1308"/>
      <c r="EV747" s="1308"/>
      <c r="EW747" s="1308"/>
      <c r="EX747" s="1308"/>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2.95" customHeight="1">
      <c r="B748" s="1289"/>
      <c r="C748" s="1290"/>
      <c r="D748" s="1290"/>
      <c r="E748" s="1290"/>
      <c r="F748" s="1291"/>
      <c r="G748" s="1298"/>
      <c r="H748" s="1299"/>
      <c r="I748" s="1299"/>
      <c r="J748" s="1300"/>
      <c r="K748" s="1539"/>
      <c r="L748" s="1540"/>
      <c r="M748" s="1540"/>
      <c r="N748" s="1541"/>
      <c r="O748" s="1305"/>
      <c r="P748" s="1306"/>
      <c r="Q748" s="1306"/>
      <c r="R748" s="1306"/>
      <c r="S748" s="1307"/>
      <c r="T748" s="1305"/>
      <c r="U748" s="1306"/>
      <c r="V748" s="1306"/>
      <c r="W748" s="1307"/>
      <c r="X748" s="1292">
        <f t="shared" si="10"/>
        <v>0</v>
      </c>
      <c r="Y748" s="1293"/>
      <c r="Z748" s="1293"/>
      <c r="AA748" s="1293"/>
      <c r="AB748" s="1294"/>
      <c r="AC748" s="1302"/>
      <c r="AD748" s="1303"/>
      <c r="AE748" s="1303"/>
      <c r="AF748" s="1303"/>
      <c r="AG748" s="1304"/>
      <c r="AH748" s="1295" t="str">
        <f t="shared" si="38"/>
        <v/>
      </c>
      <c r="AI748" s="1296"/>
      <c r="AJ748" s="1297"/>
      <c r="AK748" s="1289" t="s">
        <v>590</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39"/>
        <v>0</v>
      </c>
      <c r="CH748" s="1287"/>
      <c r="CI748" s="1274">
        <f t="shared" si="40"/>
        <v>0</v>
      </c>
      <c r="CJ748" s="1276"/>
      <c r="CK748" s="1285">
        <f t="shared" si="18"/>
        <v>0</v>
      </c>
      <c r="CL748" s="1287"/>
      <c r="CM748" s="1274">
        <f t="shared" si="19"/>
        <v>0</v>
      </c>
      <c r="CN748" s="1276"/>
      <c r="CO748" s="3"/>
      <c r="CP748" s="1268">
        <f t="shared" si="20"/>
        <v>0</v>
      </c>
      <c r="CQ748" s="1269"/>
      <c r="CR748" s="1269"/>
      <c r="CS748" s="1269"/>
      <c r="CT748" s="1270"/>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308">
        <f t="shared" si="26"/>
        <v>0</v>
      </c>
      <c r="DV748" s="1308"/>
      <c r="DW748" s="1308"/>
      <c r="DX748" s="1308"/>
      <c r="DY748" s="1308"/>
      <c r="DZ748" s="1308">
        <f t="shared" si="27"/>
        <v>0</v>
      </c>
      <c r="EA748" s="1308"/>
      <c r="EB748" s="1308"/>
      <c r="EC748" s="1308"/>
      <c r="ED748" s="1308"/>
      <c r="EE748" s="1308">
        <f t="shared" si="28"/>
        <v>0</v>
      </c>
      <c r="EF748" s="1308"/>
      <c r="EG748" s="1308"/>
      <c r="EH748" s="1308"/>
      <c r="EI748" s="1308"/>
      <c r="EJ748" s="1308">
        <f t="shared" si="29"/>
        <v>0</v>
      </c>
      <c r="EK748" s="1308"/>
      <c r="EL748" s="1308"/>
      <c r="EM748" s="1308"/>
      <c r="EN748" s="1308"/>
      <c r="EO748" s="1308">
        <f t="shared" si="30"/>
        <v>0</v>
      </c>
      <c r="EP748" s="1308"/>
      <c r="EQ748" s="1308"/>
      <c r="ER748" s="1308"/>
      <c r="ES748" s="1308"/>
      <c r="ET748" s="1308">
        <f t="shared" si="31"/>
        <v>0</v>
      </c>
      <c r="EU748" s="1308"/>
      <c r="EV748" s="1308"/>
      <c r="EW748" s="1308"/>
      <c r="EX748" s="1308"/>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2.95" customHeight="1">
      <c r="B749" s="1289"/>
      <c r="C749" s="1290"/>
      <c r="D749" s="1290"/>
      <c r="E749" s="1290"/>
      <c r="F749" s="1291"/>
      <c r="G749" s="1298"/>
      <c r="H749" s="1299"/>
      <c r="I749" s="1299"/>
      <c r="J749" s="1300"/>
      <c r="K749" s="1539"/>
      <c r="L749" s="1540"/>
      <c r="M749" s="1540"/>
      <c r="N749" s="1541"/>
      <c r="O749" s="1305"/>
      <c r="P749" s="1306"/>
      <c r="Q749" s="1306"/>
      <c r="R749" s="1306"/>
      <c r="S749" s="1307"/>
      <c r="T749" s="1305"/>
      <c r="U749" s="1306"/>
      <c r="V749" s="1306"/>
      <c r="W749" s="1307"/>
      <c r="X749" s="1292">
        <f t="shared" si="10"/>
        <v>0</v>
      </c>
      <c r="Y749" s="1293"/>
      <c r="Z749" s="1293"/>
      <c r="AA749" s="1293"/>
      <c r="AB749" s="1294"/>
      <c r="AC749" s="1302"/>
      <c r="AD749" s="1303"/>
      <c r="AE749" s="1303"/>
      <c r="AF749" s="1303"/>
      <c r="AG749" s="1304"/>
      <c r="AH749" s="1295" t="str">
        <f t="shared" si="38"/>
        <v/>
      </c>
      <c r="AI749" s="1296"/>
      <c r="AJ749" s="1297"/>
      <c r="AK749" s="1289" t="s">
        <v>590</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39"/>
        <v>0</v>
      </c>
      <c r="CH749" s="1287"/>
      <c r="CI749" s="1274">
        <f t="shared" si="40"/>
        <v>0</v>
      </c>
      <c r="CJ749" s="1276"/>
      <c r="CK749" s="1285">
        <f t="shared" si="18"/>
        <v>0</v>
      </c>
      <c r="CL749" s="1287"/>
      <c r="CM749" s="1274">
        <f t="shared" si="19"/>
        <v>0</v>
      </c>
      <c r="CN749" s="1276"/>
      <c r="CO749" s="3"/>
      <c r="CP749" s="1268">
        <f t="shared" si="20"/>
        <v>0</v>
      </c>
      <c r="CQ749" s="1269"/>
      <c r="CR749" s="1269"/>
      <c r="CS749" s="1269"/>
      <c r="CT749" s="1270"/>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308">
        <f t="shared" si="26"/>
        <v>0</v>
      </c>
      <c r="DV749" s="1308"/>
      <c r="DW749" s="1308"/>
      <c r="DX749" s="1308"/>
      <c r="DY749" s="1308"/>
      <c r="DZ749" s="1308">
        <f t="shared" si="27"/>
        <v>0</v>
      </c>
      <c r="EA749" s="1308"/>
      <c r="EB749" s="1308"/>
      <c r="EC749" s="1308"/>
      <c r="ED749" s="1308"/>
      <c r="EE749" s="1308">
        <f t="shared" si="28"/>
        <v>0</v>
      </c>
      <c r="EF749" s="1308"/>
      <c r="EG749" s="1308"/>
      <c r="EH749" s="1308"/>
      <c r="EI749" s="1308"/>
      <c r="EJ749" s="1308">
        <f t="shared" si="29"/>
        <v>0</v>
      </c>
      <c r="EK749" s="1308"/>
      <c r="EL749" s="1308"/>
      <c r="EM749" s="1308"/>
      <c r="EN749" s="1308"/>
      <c r="EO749" s="1308">
        <f t="shared" si="30"/>
        <v>0</v>
      </c>
      <c r="EP749" s="1308"/>
      <c r="EQ749" s="1308"/>
      <c r="ER749" s="1308"/>
      <c r="ES749" s="1308"/>
      <c r="ET749" s="1308">
        <f t="shared" si="31"/>
        <v>0</v>
      </c>
      <c r="EU749" s="1308"/>
      <c r="EV749" s="1308"/>
      <c r="EW749" s="1308"/>
      <c r="EX749" s="1308"/>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2.95" customHeight="1">
      <c r="B750" s="1289"/>
      <c r="C750" s="1290"/>
      <c r="D750" s="1290"/>
      <c r="E750" s="1290"/>
      <c r="F750" s="1291"/>
      <c r="G750" s="1298"/>
      <c r="H750" s="1299"/>
      <c r="I750" s="1299"/>
      <c r="J750" s="1300"/>
      <c r="K750" s="1539"/>
      <c r="L750" s="1540"/>
      <c r="M750" s="1540"/>
      <c r="N750" s="1541"/>
      <c r="O750" s="1305"/>
      <c r="P750" s="1306"/>
      <c r="Q750" s="1306"/>
      <c r="R750" s="1306"/>
      <c r="S750" s="1307"/>
      <c r="T750" s="1305"/>
      <c r="U750" s="1306"/>
      <c r="V750" s="1306"/>
      <c r="W750" s="1307"/>
      <c r="X750" s="1292">
        <f t="shared" ref="X750:X759" si="41">O750+T750</f>
        <v>0</v>
      </c>
      <c r="Y750" s="1293"/>
      <c r="Z750" s="1293"/>
      <c r="AA750" s="1293"/>
      <c r="AB750" s="1294"/>
      <c r="AC750" s="1302"/>
      <c r="AD750" s="1303"/>
      <c r="AE750" s="1303"/>
      <c r="AF750" s="1303"/>
      <c r="AG750" s="1304"/>
      <c r="AH750" s="1295" t="str">
        <f t="shared" si="38"/>
        <v/>
      </c>
      <c r="AI750" s="1296"/>
      <c r="AJ750" s="1297"/>
      <c r="AK750" s="1289" t="s">
        <v>590</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39"/>
        <v>0</v>
      </c>
      <c r="CH750" s="1287"/>
      <c r="CI750" s="1274">
        <f t="shared" si="40"/>
        <v>0</v>
      </c>
      <c r="CJ750" s="1276"/>
      <c r="CK750" s="1285">
        <f t="shared" si="18"/>
        <v>0</v>
      </c>
      <c r="CL750" s="1287"/>
      <c r="CM750" s="1274">
        <f t="shared" si="19"/>
        <v>0</v>
      </c>
      <c r="CN750" s="1276"/>
      <c r="CO750" s="3"/>
      <c r="CP750" s="1268">
        <f t="shared" si="20"/>
        <v>0</v>
      </c>
      <c r="CQ750" s="1269"/>
      <c r="CR750" s="1269"/>
      <c r="CS750" s="1269"/>
      <c r="CT750" s="1270"/>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308">
        <f t="shared" si="26"/>
        <v>0</v>
      </c>
      <c r="DV750" s="1308"/>
      <c r="DW750" s="1308"/>
      <c r="DX750" s="1308"/>
      <c r="DY750" s="1308"/>
      <c r="DZ750" s="1308">
        <f t="shared" si="27"/>
        <v>0</v>
      </c>
      <c r="EA750" s="1308"/>
      <c r="EB750" s="1308"/>
      <c r="EC750" s="1308"/>
      <c r="ED750" s="1308"/>
      <c r="EE750" s="1308">
        <f t="shared" si="28"/>
        <v>0</v>
      </c>
      <c r="EF750" s="1308"/>
      <c r="EG750" s="1308"/>
      <c r="EH750" s="1308"/>
      <c r="EI750" s="1308"/>
      <c r="EJ750" s="1308">
        <f t="shared" si="29"/>
        <v>0</v>
      </c>
      <c r="EK750" s="1308"/>
      <c r="EL750" s="1308"/>
      <c r="EM750" s="1308"/>
      <c r="EN750" s="1308"/>
      <c r="EO750" s="1308">
        <f t="shared" si="30"/>
        <v>0</v>
      </c>
      <c r="EP750" s="1308"/>
      <c r="EQ750" s="1308"/>
      <c r="ER750" s="1308"/>
      <c r="ES750" s="1308"/>
      <c r="ET750" s="1308">
        <f t="shared" si="31"/>
        <v>0</v>
      </c>
      <c r="EU750" s="1308"/>
      <c r="EV750" s="1308"/>
      <c r="EW750" s="1308"/>
      <c r="EX750" s="1308"/>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2.95" customHeight="1">
      <c r="A751"/>
      <c r="B751" s="1289"/>
      <c r="C751" s="1290"/>
      <c r="D751" s="1290"/>
      <c r="E751" s="1290"/>
      <c r="F751" s="1291"/>
      <c r="G751" s="1298"/>
      <c r="H751" s="1299"/>
      <c r="I751" s="1299"/>
      <c r="J751" s="1300"/>
      <c r="K751" s="1539"/>
      <c r="L751" s="1540"/>
      <c r="M751" s="1540"/>
      <c r="N751" s="1541"/>
      <c r="O751" s="1305"/>
      <c r="P751" s="1306"/>
      <c r="Q751" s="1306"/>
      <c r="R751" s="1306"/>
      <c r="S751" s="1307"/>
      <c r="T751" s="1305"/>
      <c r="U751" s="1306"/>
      <c r="V751" s="1306"/>
      <c r="W751" s="1307"/>
      <c r="X751" s="1292">
        <f t="shared" si="41"/>
        <v>0</v>
      </c>
      <c r="Y751" s="1293"/>
      <c r="Z751" s="1293"/>
      <c r="AA751" s="1293"/>
      <c r="AB751" s="1294"/>
      <c r="AC751" s="1302"/>
      <c r="AD751" s="1303"/>
      <c r="AE751" s="1303"/>
      <c r="AF751" s="1303"/>
      <c r="AG751" s="1304"/>
      <c r="AH751" s="1295" t="str">
        <f t="shared" si="38"/>
        <v/>
      </c>
      <c r="AI751" s="1296"/>
      <c r="AJ751" s="1297"/>
      <c r="AK751" s="1289" t="s">
        <v>590</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39"/>
        <v>0</v>
      </c>
      <c r="CH751" s="1287"/>
      <c r="CI751" s="1274">
        <f t="shared" si="40"/>
        <v>0</v>
      </c>
      <c r="CJ751" s="1276"/>
      <c r="CK751" s="1285">
        <f t="shared" si="18"/>
        <v>0</v>
      </c>
      <c r="CL751" s="1287"/>
      <c r="CM751" s="1274">
        <f t="shared" si="19"/>
        <v>0</v>
      </c>
      <c r="CN751" s="1276"/>
      <c r="CP751" s="1268">
        <f t="shared" si="20"/>
        <v>0</v>
      </c>
      <c r="CQ751" s="1269"/>
      <c r="CR751" s="1269"/>
      <c r="CS751" s="1269"/>
      <c r="CT751" s="1270"/>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308">
        <f t="shared" si="26"/>
        <v>0</v>
      </c>
      <c r="DV751" s="1308"/>
      <c r="DW751" s="1308"/>
      <c r="DX751" s="1308"/>
      <c r="DY751" s="1308"/>
      <c r="DZ751" s="1308">
        <f t="shared" si="27"/>
        <v>0</v>
      </c>
      <c r="EA751" s="1308"/>
      <c r="EB751" s="1308"/>
      <c r="EC751" s="1308"/>
      <c r="ED751" s="1308"/>
      <c r="EE751" s="1308">
        <f t="shared" si="28"/>
        <v>0</v>
      </c>
      <c r="EF751" s="1308"/>
      <c r="EG751" s="1308"/>
      <c r="EH751" s="1308"/>
      <c r="EI751" s="1308"/>
      <c r="EJ751" s="1308">
        <f t="shared" si="29"/>
        <v>0</v>
      </c>
      <c r="EK751" s="1308"/>
      <c r="EL751" s="1308"/>
      <c r="EM751" s="1308"/>
      <c r="EN751" s="1308"/>
      <c r="EO751" s="1308">
        <f t="shared" si="30"/>
        <v>0</v>
      </c>
      <c r="EP751" s="1308"/>
      <c r="EQ751" s="1308"/>
      <c r="ER751" s="1308"/>
      <c r="ES751" s="1308"/>
      <c r="ET751" s="1308">
        <f t="shared" si="31"/>
        <v>0</v>
      </c>
      <c r="EU751" s="1308"/>
      <c r="EV751" s="1308"/>
      <c r="EW751" s="1308"/>
      <c r="EX751" s="1308"/>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2.95" customHeight="1">
      <c r="B752" s="1289"/>
      <c r="C752" s="1290"/>
      <c r="D752" s="1290"/>
      <c r="E752" s="1290"/>
      <c r="F752" s="1291"/>
      <c r="G752" s="1298"/>
      <c r="H752" s="1299"/>
      <c r="I752" s="1299"/>
      <c r="J752" s="1300"/>
      <c r="K752" s="1539"/>
      <c r="L752" s="1540"/>
      <c r="M752" s="1540"/>
      <c r="N752" s="1541"/>
      <c r="O752" s="1305"/>
      <c r="P752" s="1306"/>
      <c r="Q752" s="1306"/>
      <c r="R752" s="1306"/>
      <c r="S752" s="1307"/>
      <c r="T752" s="1305"/>
      <c r="U752" s="1306"/>
      <c r="V752" s="1306"/>
      <c r="W752" s="1307"/>
      <c r="X752" s="1292">
        <f t="shared" si="41"/>
        <v>0</v>
      </c>
      <c r="Y752" s="1293"/>
      <c r="Z752" s="1293"/>
      <c r="AA752" s="1293"/>
      <c r="AB752" s="1294"/>
      <c r="AC752" s="1302"/>
      <c r="AD752" s="1303"/>
      <c r="AE752" s="1303"/>
      <c r="AF752" s="1303"/>
      <c r="AG752" s="1304"/>
      <c r="AH752" s="1295" t="str">
        <f t="shared" si="38"/>
        <v/>
      </c>
      <c r="AI752" s="1296"/>
      <c r="AJ752" s="1297"/>
      <c r="AK752" s="1289" t="s">
        <v>590</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39"/>
        <v>0</v>
      </c>
      <c r="CH752" s="1287"/>
      <c r="CI752" s="1274">
        <f t="shared" si="40"/>
        <v>0</v>
      </c>
      <c r="CJ752" s="1276"/>
      <c r="CK752" s="1285">
        <f t="shared" si="18"/>
        <v>0</v>
      </c>
      <c r="CL752" s="1287"/>
      <c r="CM752" s="1274">
        <f t="shared" si="19"/>
        <v>0</v>
      </c>
      <c r="CN752" s="1276"/>
      <c r="CO752" s="3"/>
      <c r="CP752" s="1268">
        <f t="shared" si="20"/>
        <v>0</v>
      </c>
      <c r="CQ752" s="1269"/>
      <c r="CR752" s="1269"/>
      <c r="CS752" s="1269"/>
      <c r="CT752" s="1270"/>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308">
        <f t="shared" si="26"/>
        <v>0</v>
      </c>
      <c r="DV752" s="1308"/>
      <c r="DW752" s="1308"/>
      <c r="DX752" s="1308"/>
      <c r="DY752" s="1308"/>
      <c r="DZ752" s="1308">
        <f t="shared" si="27"/>
        <v>0</v>
      </c>
      <c r="EA752" s="1308"/>
      <c r="EB752" s="1308"/>
      <c r="EC752" s="1308"/>
      <c r="ED752" s="1308"/>
      <c r="EE752" s="1308">
        <f t="shared" si="28"/>
        <v>0</v>
      </c>
      <c r="EF752" s="1308"/>
      <c r="EG752" s="1308"/>
      <c r="EH752" s="1308"/>
      <c r="EI752" s="1308"/>
      <c r="EJ752" s="1308">
        <f t="shared" si="29"/>
        <v>0</v>
      </c>
      <c r="EK752" s="1308"/>
      <c r="EL752" s="1308"/>
      <c r="EM752" s="1308"/>
      <c r="EN752" s="1308"/>
      <c r="EO752" s="1308">
        <f t="shared" si="30"/>
        <v>0</v>
      </c>
      <c r="EP752" s="1308"/>
      <c r="EQ752" s="1308"/>
      <c r="ER752" s="1308"/>
      <c r="ES752" s="1308"/>
      <c r="ET752" s="1308">
        <f t="shared" si="31"/>
        <v>0</v>
      </c>
      <c r="EU752" s="1308"/>
      <c r="EV752" s="1308"/>
      <c r="EW752" s="1308"/>
      <c r="EX752" s="1308"/>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2.95" customHeight="1">
      <c r="B753" s="1289"/>
      <c r="C753" s="1290"/>
      <c r="D753" s="1290"/>
      <c r="E753" s="1290"/>
      <c r="F753" s="1291"/>
      <c r="G753" s="1298"/>
      <c r="H753" s="1299"/>
      <c r="I753" s="1299"/>
      <c r="J753" s="1300"/>
      <c r="K753" s="1539"/>
      <c r="L753" s="1540"/>
      <c r="M753" s="1540"/>
      <c r="N753" s="1541"/>
      <c r="O753" s="1305"/>
      <c r="P753" s="1306"/>
      <c r="Q753" s="1306"/>
      <c r="R753" s="1306"/>
      <c r="S753" s="1307"/>
      <c r="T753" s="1305"/>
      <c r="U753" s="1306"/>
      <c r="V753" s="1306"/>
      <c r="W753" s="1307"/>
      <c r="X753" s="1292">
        <f t="shared" si="41"/>
        <v>0</v>
      </c>
      <c r="Y753" s="1293"/>
      <c r="Z753" s="1293"/>
      <c r="AA753" s="1293"/>
      <c r="AB753" s="1294"/>
      <c r="AC753" s="1302"/>
      <c r="AD753" s="1303"/>
      <c r="AE753" s="1303"/>
      <c r="AF753" s="1303"/>
      <c r="AG753" s="1304"/>
      <c r="AH753" s="1295" t="str">
        <f t="shared" si="38"/>
        <v/>
      </c>
      <c r="AI753" s="1296"/>
      <c r="AJ753" s="1297"/>
      <c r="AK753" s="1289" t="s">
        <v>590</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39"/>
        <v>0</v>
      </c>
      <c r="CH753" s="1287"/>
      <c r="CI753" s="1274">
        <f t="shared" si="40"/>
        <v>0</v>
      </c>
      <c r="CJ753" s="1276"/>
      <c r="CK753" s="1285">
        <f t="shared" si="18"/>
        <v>0</v>
      </c>
      <c r="CL753" s="1287"/>
      <c r="CM753" s="1274">
        <f t="shared" si="19"/>
        <v>0</v>
      </c>
      <c r="CN753" s="1276"/>
      <c r="CO753" s="3"/>
      <c r="CP753" s="1268">
        <f t="shared" si="20"/>
        <v>0</v>
      </c>
      <c r="CQ753" s="1269"/>
      <c r="CR753" s="1269"/>
      <c r="CS753" s="1269"/>
      <c r="CT753" s="1270"/>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308">
        <f t="shared" si="26"/>
        <v>0</v>
      </c>
      <c r="DV753" s="1308"/>
      <c r="DW753" s="1308"/>
      <c r="DX753" s="1308"/>
      <c r="DY753" s="1308"/>
      <c r="DZ753" s="1308">
        <f t="shared" si="27"/>
        <v>0</v>
      </c>
      <c r="EA753" s="1308"/>
      <c r="EB753" s="1308"/>
      <c r="EC753" s="1308"/>
      <c r="ED753" s="1308"/>
      <c r="EE753" s="1308">
        <f t="shared" si="28"/>
        <v>0</v>
      </c>
      <c r="EF753" s="1308"/>
      <c r="EG753" s="1308"/>
      <c r="EH753" s="1308"/>
      <c r="EI753" s="1308"/>
      <c r="EJ753" s="1308">
        <f t="shared" si="29"/>
        <v>0</v>
      </c>
      <c r="EK753" s="1308"/>
      <c r="EL753" s="1308"/>
      <c r="EM753" s="1308"/>
      <c r="EN753" s="1308"/>
      <c r="EO753" s="1308">
        <f t="shared" si="30"/>
        <v>0</v>
      </c>
      <c r="EP753" s="1308"/>
      <c r="EQ753" s="1308"/>
      <c r="ER753" s="1308"/>
      <c r="ES753" s="1308"/>
      <c r="ET753" s="1308">
        <f t="shared" si="31"/>
        <v>0</v>
      </c>
      <c r="EU753" s="1308"/>
      <c r="EV753" s="1308"/>
      <c r="EW753" s="1308"/>
      <c r="EX753" s="1308"/>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2.95" customHeight="1">
      <c r="B754" s="1289"/>
      <c r="C754" s="1290"/>
      <c r="D754" s="1290"/>
      <c r="E754" s="1290"/>
      <c r="F754" s="1291"/>
      <c r="G754" s="1298"/>
      <c r="H754" s="1299"/>
      <c r="I754" s="1299"/>
      <c r="J754" s="1300"/>
      <c r="K754" s="1539"/>
      <c r="L754" s="1540"/>
      <c r="M754" s="1540"/>
      <c r="N754" s="1541"/>
      <c r="O754" s="1305"/>
      <c r="P754" s="1306"/>
      <c r="Q754" s="1306"/>
      <c r="R754" s="1306"/>
      <c r="S754" s="1307"/>
      <c r="T754" s="1305"/>
      <c r="U754" s="1306"/>
      <c r="V754" s="1306"/>
      <c r="W754" s="1307"/>
      <c r="X754" s="1292">
        <f t="shared" si="41"/>
        <v>0</v>
      </c>
      <c r="Y754" s="1293"/>
      <c r="Z754" s="1293"/>
      <c r="AA754" s="1293"/>
      <c r="AB754" s="1294"/>
      <c r="AC754" s="1302"/>
      <c r="AD754" s="1303"/>
      <c r="AE754" s="1303"/>
      <c r="AF754" s="1303"/>
      <c r="AG754" s="1304"/>
      <c r="AH754" s="1295" t="str">
        <f t="shared" si="38"/>
        <v/>
      </c>
      <c r="AI754" s="1296"/>
      <c r="AJ754" s="1297"/>
      <c r="AK754" s="1289" t="s">
        <v>590</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39"/>
        <v>0</v>
      </c>
      <c r="CH754" s="1287"/>
      <c r="CI754" s="1274">
        <f t="shared" si="40"/>
        <v>0</v>
      </c>
      <c r="CJ754" s="1276"/>
      <c r="CK754" s="1285">
        <f t="shared" si="18"/>
        <v>0</v>
      </c>
      <c r="CL754" s="1287"/>
      <c r="CM754" s="1274">
        <f t="shared" si="19"/>
        <v>0</v>
      </c>
      <c r="CN754" s="1276"/>
      <c r="CO754" s="3"/>
      <c r="CP754" s="1268">
        <f t="shared" si="20"/>
        <v>0</v>
      </c>
      <c r="CQ754" s="1269"/>
      <c r="CR754" s="1269"/>
      <c r="CS754" s="1269"/>
      <c r="CT754" s="1270"/>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308">
        <f t="shared" si="26"/>
        <v>0</v>
      </c>
      <c r="DV754" s="1308"/>
      <c r="DW754" s="1308"/>
      <c r="DX754" s="1308"/>
      <c r="DY754" s="1308"/>
      <c r="DZ754" s="1308">
        <f t="shared" si="27"/>
        <v>0</v>
      </c>
      <c r="EA754" s="1308"/>
      <c r="EB754" s="1308"/>
      <c r="EC754" s="1308"/>
      <c r="ED754" s="1308"/>
      <c r="EE754" s="1308">
        <f t="shared" si="28"/>
        <v>0</v>
      </c>
      <c r="EF754" s="1308"/>
      <c r="EG754" s="1308"/>
      <c r="EH754" s="1308"/>
      <c r="EI754" s="1308"/>
      <c r="EJ754" s="1308">
        <f t="shared" si="29"/>
        <v>0</v>
      </c>
      <c r="EK754" s="1308"/>
      <c r="EL754" s="1308"/>
      <c r="EM754" s="1308"/>
      <c r="EN754" s="1308"/>
      <c r="EO754" s="1308">
        <f t="shared" si="30"/>
        <v>0</v>
      </c>
      <c r="EP754" s="1308"/>
      <c r="EQ754" s="1308"/>
      <c r="ER754" s="1308"/>
      <c r="ES754" s="1308"/>
      <c r="ET754" s="1308">
        <f t="shared" si="31"/>
        <v>0</v>
      </c>
      <c r="EU754" s="1308"/>
      <c r="EV754" s="1308"/>
      <c r="EW754" s="1308"/>
      <c r="EX754" s="1308"/>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2.95" customHeight="1">
      <c r="B755" s="1289"/>
      <c r="C755" s="1290"/>
      <c r="D755" s="1290"/>
      <c r="E755" s="1290"/>
      <c r="F755" s="1291"/>
      <c r="G755" s="1298"/>
      <c r="H755" s="1299"/>
      <c r="I755" s="1299"/>
      <c r="J755" s="1300"/>
      <c r="K755" s="1539"/>
      <c r="L755" s="1540"/>
      <c r="M755" s="1540"/>
      <c r="N755" s="1541"/>
      <c r="O755" s="1305"/>
      <c r="P755" s="1306"/>
      <c r="Q755" s="1306"/>
      <c r="R755" s="1306"/>
      <c r="S755" s="1307"/>
      <c r="T755" s="1305"/>
      <c r="U755" s="1306"/>
      <c r="V755" s="1306"/>
      <c r="W755" s="1307"/>
      <c r="X755" s="1292">
        <f t="shared" si="41"/>
        <v>0</v>
      </c>
      <c r="Y755" s="1293"/>
      <c r="Z755" s="1293"/>
      <c r="AA755" s="1293"/>
      <c r="AB755" s="1294"/>
      <c r="AC755" s="1302"/>
      <c r="AD755" s="1303"/>
      <c r="AE755" s="1303"/>
      <c r="AF755" s="1303"/>
      <c r="AG755" s="1304"/>
      <c r="AH755" s="1295" t="str">
        <f t="shared" si="38"/>
        <v/>
      </c>
      <c r="AI755" s="1296"/>
      <c r="AJ755" s="1297"/>
      <c r="AK755" s="1289" t="s">
        <v>590</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39"/>
        <v>0</v>
      </c>
      <c r="CH755" s="1287"/>
      <c r="CI755" s="1274">
        <f t="shared" si="40"/>
        <v>0</v>
      </c>
      <c r="CJ755" s="1276"/>
      <c r="CK755" s="1285">
        <f t="shared" si="18"/>
        <v>0</v>
      </c>
      <c r="CL755" s="1287"/>
      <c r="CM755" s="1274">
        <f t="shared" si="19"/>
        <v>0</v>
      </c>
      <c r="CN755" s="1276"/>
      <c r="CO755" s="3"/>
      <c r="CP755" s="1268">
        <f t="shared" si="20"/>
        <v>0</v>
      </c>
      <c r="CQ755" s="1269"/>
      <c r="CR755" s="1269"/>
      <c r="CS755" s="1269"/>
      <c r="CT755" s="1270"/>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308">
        <f t="shared" si="26"/>
        <v>0</v>
      </c>
      <c r="DV755" s="1308"/>
      <c r="DW755" s="1308"/>
      <c r="DX755" s="1308"/>
      <c r="DY755" s="1308"/>
      <c r="DZ755" s="1308">
        <f t="shared" si="27"/>
        <v>0</v>
      </c>
      <c r="EA755" s="1308"/>
      <c r="EB755" s="1308"/>
      <c r="EC755" s="1308"/>
      <c r="ED755" s="1308"/>
      <c r="EE755" s="1308">
        <f t="shared" si="28"/>
        <v>0</v>
      </c>
      <c r="EF755" s="1308"/>
      <c r="EG755" s="1308"/>
      <c r="EH755" s="1308"/>
      <c r="EI755" s="1308"/>
      <c r="EJ755" s="1308">
        <f t="shared" si="29"/>
        <v>0</v>
      </c>
      <c r="EK755" s="1308"/>
      <c r="EL755" s="1308"/>
      <c r="EM755" s="1308"/>
      <c r="EN755" s="1308"/>
      <c r="EO755" s="1308">
        <f t="shared" si="30"/>
        <v>0</v>
      </c>
      <c r="EP755" s="1308"/>
      <c r="EQ755" s="1308"/>
      <c r="ER755" s="1308"/>
      <c r="ES755" s="1308"/>
      <c r="ET755" s="1308">
        <f t="shared" si="31"/>
        <v>0</v>
      </c>
      <c r="EU755" s="1308"/>
      <c r="EV755" s="1308"/>
      <c r="EW755" s="1308"/>
      <c r="EX755" s="1308"/>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2.95" customHeight="1">
      <c r="A756"/>
      <c r="B756" s="1289"/>
      <c r="C756" s="1290"/>
      <c r="D756" s="1290"/>
      <c r="E756" s="1290"/>
      <c r="F756" s="1291"/>
      <c r="G756" s="1298"/>
      <c r="H756" s="1299"/>
      <c r="I756" s="1299"/>
      <c r="J756" s="1300"/>
      <c r="K756" s="1539"/>
      <c r="L756" s="1540"/>
      <c r="M756" s="1540"/>
      <c r="N756" s="1541"/>
      <c r="O756" s="1305"/>
      <c r="P756" s="1306"/>
      <c r="Q756" s="1306"/>
      <c r="R756" s="1306"/>
      <c r="S756" s="1307"/>
      <c r="T756" s="1305"/>
      <c r="U756" s="1306"/>
      <c r="V756" s="1306"/>
      <c r="W756" s="1307"/>
      <c r="X756" s="1292">
        <f t="shared" si="41"/>
        <v>0</v>
      </c>
      <c r="Y756" s="1293"/>
      <c r="Z756" s="1293"/>
      <c r="AA756" s="1293"/>
      <c r="AB756" s="1294"/>
      <c r="AC756" s="1302"/>
      <c r="AD756" s="1303"/>
      <c r="AE756" s="1303"/>
      <c r="AF756" s="1303"/>
      <c r="AG756" s="1304"/>
      <c r="AH756" s="1295" t="str">
        <f t="shared" si="38"/>
        <v/>
      </c>
      <c r="AI756" s="1296"/>
      <c r="AJ756" s="1297"/>
      <c r="AK756" s="1289" t="s">
        <v>590</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39"/>
        <v>0</v>
      </c>
      <c r="CH756" s="1287"/>
      <c r="CI756" s="1274">
        <f t="shared" si="40"/>
        <v>0</v>
      </c>
      <c r="CJ756" s="1276"/>
      <c r="CK756" s="1285">
        <f t="shared" si="18"/>
        <v>0</v>
      </c>
      <c r="CL756" s="1287"/>
      <c r="CM756" s="1274">
        <f t="shared" si="19"/>
        <v>0</v>
      </c>
      <c r="CN756" s="1276"/>
      <c r="CP756" s="1268">
        <f t="shared" si="20"/>
        <v>0</v>
      </c>
      <c r="CQ756" s="1269"/>
      <c r="CR756" s="1269"/>
      <c r="CS756" s="1269"/>
      <c r="CT756" s="1270"/>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308">
        <f t="shared" si="26"/>
        <v>0</v>
      </c>
      <c r="DV756" s="1308"/>
      <c r="DW756" s="1308"/>
      <c r="DX756" s="1308"/>
      <c r="DY756" s="1308"/>
      <c r="DZ756" s="1308">
        <f t="shared" si="27"/>
        <v>0</v>
      </c>
      <c r="EA756" s="1308"/>
      <c r="EB756" s="1308"/>
      <c r="EC756" s="1308"/>
      <c r="ED756" s="1308"/>
      <c r="EE756" s="1308">
        <f t="shared" si="28"/>
        <v>0</v>
      </c>
      <c r="EF756" s="1308"/>
      <c r="EG756" s="1308"/>
      <c r="EH756" s="1308"/>
      <c r="EI756" s="1308"/>
      <c r="EJ756" s="1308">
        <f t="shared" si="29"/>
        <v>0</v>
      </c>
      <c r="EK756" s="1308"/>
      <c r="EL756" s="1308"/>
      <c r="EM756" s="1308"/>
      <c r="EN756" s="1308"/>
      <c r="EO756" s="1308">
        <f t="shared" si="30"/>
        <v>0</v>
      </c>
      <c r="EP756" s="1308"/>
      <c r="EQ756" s="1308"/>
      <c r="ER756" s="1308"/>
      <c r="ES756" s="1308"/>
      <c r="ET756" s="1308">
        <f t="shared" si="31"/>
        <v>0</v>
      </c>
      <c r="EU756" s="1308"/>
      <c r="EV756" s="1308"/>
      <c r="EW756" s="1308"/>
      <c r="EX756" s="1308"/>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2.95" customHeight="1">
      <c r="A757"/>
      <c r="B757" s="1289"/>
      <c r="C757" s="1290"/>
      <c r="D757" s="1290"/>
      <c r="E757" s="1290"/>
      <c r="F757" s="1291"/>
      <c r="G757" s="1298"/>
      <c r="H757" s="1299"/>
      <c r="I757" s="1299"/>
      <c r="J757" s="1300"/>
      <c r="K757" s="1539"/>
      <c r="L757" s="1540"/>
      <c r="M757" s="1540"/>
      <c r="N757" s="1541"/>
      <c r="O757" s="1305"/>
      <c r="P757" s="1306"/>
      <c r="Q757" s="1306"/>
      <c r="R757" s="1306"/>
      <c r="S757" s="1307"/>
      <c r="T757" s="1305"/>
      <c r="U757" s="1306"/>
      <c r="V757" s="1306"/>
      <c r="W757" s="1307"/>
      <c r="X757" s="1292">
        <f t="shared" si="41"/>
        <v>0</v>
      </c>
      <c r="Y757" s="1293"/>
      <c r="Z757" s="1293"/>
      <c r="AA757" s="1293"/>
      <c r="AB757" s="1294"/>
      <c r="AC757" s="1302"/>
      <c r="AD757" s="1303"/>
      <c r="AE757" s="1303"/>
      <c r="AF757" s="1303"/>
      <c r="AG757" s="1304"/>
      <c r="AH757" s="1295" t="str">
        <f t="shared" si="38"/>
        <v/>
      </c>
      <c r="AI757" s="1296"/>
      <c r="AJ757" s="1297"/>
      <c r="AK757" s="1289" t="s">
        <v>590</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39"/>
        <v>0</v>
      </c>
      <c r="CH757" s="1287"/>
      <c r="CI757" s="1274">
        <f t="shared" si="40"/>
        <v>0</v>
      </c>
      <c r="CJ757" s="1276"/>
      <c r="CK757" s="1285">
        <f t="shared" si="18"/>
        <v>0</v>
      </c>
      <c r="CL757" s="1287"/>
      <c r="CM757" s="1274">
        <f t="shared" si="19"/>
        <v>0</v>
      </c>
      <c r="CN757" s="1276"/>
      <c r="CP757" s="1268">
        <f t="shared" si="20"/>
        <v>0</v>
      </c>
      <c r="CQ757" s="1269"/>
      <c r="CR757" s="1269"/>
      <c r="CS757" s="1269"/>
      <c r="CT757" s="1270"/>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308">
        <f t="shared" si="26"/>
        <v>0</v>
      </c>
      <c r="DV757" s="1308"/>
      <c r="DW757" s="1308"/>
      <c r="DX757" s="1308"/>
      <c r="DY757" s="1308"/>
      <c r="DZ757" s="1308">
        <f t="shared" si="27"/>
        <v>0</v>
      </c>
      <c r="EA757" s="1308"/>
      <c r="EB757" s="1308"/>
      <c r="EC757" s="1308"/>
      <c r="ED757" s="1308"/>
      <c r="EE757" s="1308">
        <f t="shared" si="28"/>
        <v>0</v>
      </c>
      <c r="EF757" s="1308"/>
      <c r="EG757" s="1308"/>
      <c r="EH757" s="1308"/>
      <c r="EI757" s="1308"/>
      <c r="EJ757" s="1308">
        <f t="shared" si="29"/>
        <v>0</v>
      </c>
      <c r="EK757" s="1308"/>
      <c r="EL757" s="1308"/>
      <c r="EM757" s="1308"/>
      <c r="EN757" s="1308"/>
      <c r="EO757" s="1308">
        <f t="shared" si="30"/>
        <v>0</v>
      </c>
      <c r="EP757" s="1308"/>
      <c r="EQ757" s="1308"/>
      <c r="ER757" s="1308"/>
      <c r="ES757" s="1308"/>
      <c r="ET757" s="1308">
        <f t="shared" si="31"/>
        <v>0</v>
      </c>
      <c r="EU757" s="1308"/>
      <c r="EV757" s="1308"/>
      <c r="EW757" s="1308"/>
      <c r="EX757" s="1308"/>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2.95" customHeight="1">
      <c r="A758"/>
      <c r="B758" s="1289"/>
      <c r="C758" s="1290"/>
      <c r="D758" s="1290"/>
      <c r="E758" s="1290"/>
      <c r="F758" s="1291"/>
      <c r="G758" s="1298"/>
      <c r="H758" s="1299"/>
      <c r="I758" s="1299"/>
      <c r="J758" s="1300"/>
      <c r="K758" s="1539"/>
      <c r="L758" s="1540"/>
      <c r="M758" s="1540"/>
      <c r="N758" s="1541"/>
      <c r="O758" s="1305"/>
      <c r="P758" s="1306"/>
      <c r="Q758" s="1306"/>
      <c r="R758" s="1306"/>
      <c r="S758" s="1307"/>
      <c r="T758" s="1305"/>
      <c r="U758" s="1306"/>
      <c r="V758" s="1306"/>
      <c r="W758" s="1307"/>
      <c r="X758" s="1292">
        <f t="shared" si="41"/>
        <v>0</v>
      </c>
      <c r="Y758" s="1293"/>
      <c r="Z758" s="1293"/>
      <c r="AA758" s="1293"/>
      <c r="AB758" s="1294"/>
      <c r="AC758" s="1302"/>
      <c r="AD758" s="1303"/>
      <c r="AE758" s="1303"/>
      <c r="AF758" s="1303"/>
      <c r="AG758" s="1304"/>
      <c r="AH758" s="1295" t="str">
        <f t="shared" si="38"/>
        <v/>
      </c>
      <c r="AI758" s="1296"/>
      <c r="AJ758" s="1297"/>
      <c r="AK758" s="1289" t="s">
        <v>590</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39"/>
        <v>0</v>
      </c>
      <c r="CH758" s="1287"/>
      <c r="CI758" s="1274">
        <f t="shared" si="40"/>
        <v>0</v>
      </c>
      <c r="CJ758" s="1276"/>
      <c r="CK758" s="1285">
        <f t="shared" si="18"/>
        <v>0</v>
      </c>
      <c r="CL758" s="1287"/>
      <c r="CM758" s="1274">
        <f t="shared" si="19"/>
        <v>0</v>
      </c>
      <c r="CN758" s="1276"/>
      <c r="CP758" s="1268">
        <f t="shared" si="20"/>
        <v>0</v>
      </c>
      <c r="CQ758" s="1269"/>
      <c r="CR758" s="1269"/>
      <c r="CS758" s="1269"/>
      <c r="CT758" s="1270"/>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308">
        <f t="shared" si="26"/>
        <v>0</v>
      </c>
      <c r="DV758" s="1308"/>
      <c r="DW758" s="1308"/>
      <c r="DX758" s="1308"/>
      <c r="DY758" s="1308"/>
      <c r="DZ758" s="1308">
        <f t="shared" si="27"/>
        <v>0</v>
      </c>
      <c r="EA758" s="1308"/>
      <c r="EB758" s="1308"/>
      <c r="EC758" s="1308"/>
      <c r="ED758" s="1308"/>
      <c r="EE758" s="1308">
        <f t="shared" si="28"/>
        <v>0</v>
      </c>
      <c r="EF758" s="1308"/>
      <c r="EG758" s="1308"/>
      <c r="EH758" s="1308"/>
      <c r="EI758" s="1308"/>
      <c r="EJ758" s="1308">
        <f t="shared" si="29"/>
        <v>0</v>
      </c>
      <c r="EK758" s="1308"/>
      <c r="EL758" s="1308"/>
      <c r="EM758" s="1308"/>
      <c r="EN758" s="1308"/>
      <c r="EO758" s="1308">
        <f t="shared" si="30"/>
        <v>0</v>
      </c>
      <c r="EP758" s="1308"/>
      <c r="EQ758" s="1308"/>
      <c r="ER758" s="1308"/>
      <c r="ES758" s="1308"/>
      <c r="ET758" s="1308">
        <f t="shared" si="31"/>
        <v>0</v>
      </c>
      <c r="EU758" s="1308"/>
      <c r="EV758" s="1308"/>
      <c r="EW758" s="1308"/>
      <c r="EX758" s="1308"/>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2.95" customHeight="1">
      <c r="A759"/>
      <c r="B759" s="1289"/>
      <c r="C759" s="1290"/>
      <c r="D759" s="1290"/>
      <c r="E759" s="1290"/>
      <c r="F759" s="1291"/>
      <c r="G759" s="1298"/>
      <c r="H759" s="1299"/>
      <c r="I759" s="1299"/>
      <c r="J759" s="1300"/>
      <c r="K759" s="1539"/>
      <c r="L759" s="1540"/>
      <c r="M759" s="1540"/>
      <c r="N759" s="1541"/>
      <c r="O759" s="1305"/>
      <c r="P759" s="1306"/>
      <c r="Q759" s="1306"/>
      <c r="R759" s="1306"/>
      <c r="S759" s="1307"/>
      <c r="T759" s="1305"/>
      <c r="U759" s="1306"/>
      <c r="V759" s="1306"/>
      <c r="W759" s="1307"/>
      <c r="X759" s="1292">
        <f t="shared" si="41"/>
        <v>0</v>
      </c>
      <c r="Y759" s="1293"/>
      <c r="Z759" s="1293"/>
      <c r="AA759" s="1293"/>
      <c r="AB759" s="1294"/>
      <c r="AC759" s="1302"/>
      <c r="AD759" s="1303"/>
      <c r="AE759" s="1303"/>
      <c r="AF759" s="1303"/>
      <c r="AG759" s="1304"/>
      <c r="AH759" s="1295" t="str">
        <f t="shared" si="38"/>
        <v/>
      </c>
      <c r="AI759" s="1296"/>
      <c r="AJ759" s="1297"/>
      <c r="AK759" s="1289" t="s">
        <v>590</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39"/>
        <v>0</v>
      </c>
      <c r="CH759" s="1287"/>
      <c r="CI759" s="1274">
        <f t="shared" si="40"/>
        <v>0</v>
      </c>
      <c r="CJ759" s="1276"/>
      <c r="CK759" s="1285">
        <f t="shared" si="18"/>
        <v>0</v>
      </c>
      <c r="CL759" s="1287"/>
      <c r="CM759" s="1274">
        <f t="shared" si="19"/>
        <v>0</v>
      </c>
      <c r="CN759" s="1276"/>
      <c r="CP759" s="1268">
        <f t="shared" si="20"/>
        <v>0</v>
      </c>
      <c r="CQ759" s="1269"/>
      <c r="CR759" s="1269"/>
      <c r="CS759" s="1269"/>
      <c r="CT759" s="1270"/>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308">
        <f t="shared" si="26"/>
        <v>0</v>
      </c>
      <c r="DV759" s="1308"/>
      <c r="DW759" s="1308"/>
      <c r="DX759" s="1308"/>
      <c r="DY759" s="1308"/>
      <c r="DZ759" s="1308">
        <f t="shared" si="27"/>
        <v>0</v>
      </c>
      <c r="EA759" s="1308"/>
      <c r="EB759" s="1308"/>
      <c r="EC759" s="1308"/>
      <c r="ED759" s="1308"/>
      <c r="EE759" s="1308">
        <f t="shared" si="28"/>
        <v>0</v>
      </c>
      <c r="EF759" s="1308"/>
      <c r="EG759" s="1308"/>
      <c r="EH759" s="1308"/>
      <c r="EI759" s="1308"/>
      <c r="EJ759" s="1308">
        <f t="shared" si="29"/>
        <v>0</v>
      </c>
      <c r="EK759" s="1308"/>
      <c r="EL759" s="1308"/>
      <c r="EM759" s="1308"/>
      <c r="EN759" s="1308"/>
      <c r="EO759" s="1308">
        <f t="shared" si="30"/>
        <v>0</v>
      </c>
      <c r="EP759" s="1308"/>
      <c r="EQ759" s="1308"/>
      <c r="ER759" s="1308"/>
      <c r="ES759" s="1308"/>
      <c r="ET759" s="1308">
        <f t="shared" si="31"/>
        <v>0</v>
      </c>
      <c r="EU759" s="1308"/>
      <c r="EV759" s="1308"/>
      <c r="EW759" s="1308"/>
      <c r="EX759" s="1308"/>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2.95" customHeight="1">
      <c r="A760"/>
      <c r="B760" s="1289"/>
      <c r="C760" s="1290"/>
      <c r="D760" s="1290"/>
      <c r="E760" s="1290"/>
      <c r="F760" s="1291"/>
      <c r="G760" s="1298"/>
      <c r="H760" s="1299"/>
      <c r="I760" s="1299"/>
      <c r="J760" s="1300"/>
      <c r="K760" s="1539"/>
      <c r="L760" s="1540"/>
      <c r="M760" s="1540"/>
      <c r="N760" s="1541"/>
      <c r="O760" s="1305"/>
      <c r="P760" s="1306"/>
      <c r="Q760" s="1306"/>
      <c r="R760" s="1306"/>
      <c r="S760" s="1307"/>
      <c r="T760" s="1305"/>
      <c r="U760" s="1306"/>
      <c r="V760" s="1306"/>
      <c r="W760" s="1307"/>
      <c r="X760" s="1292">
        <f>O760+T760</f>
        <v>0</v>
      </c>
      <c r="Y760" s="1293"/>
      <c r="Z760" s="1293"/>
      <c r="AA760" s="1293"/>
      <c r="AB760" s="1294"/>
      <c r="AC760" s="1302"/>
      <c r="AD760" s="1303"/>
      <c r="AE760" s="1303"/>
      <c r="AF760" s="1303"/>
      <c r="AG760" s="1304"/>
      <c r="AH760" s="1295" t="str">
        <f t="shared" si="38"/>
        <v/>
      </c>
      <c r="AI760" s="1296"/>
      <c r="AJ760" s="1297"/>
      <c r="AK760" s="1289" t="s">
        <v>590</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39"/>
        <v>0</v>
      </c>
      <c r="CH760" s="1287"/>
      <c r="CI760" s="1274">
        <f t="shared" si="40"/>
        <v>0</v>
      </c>
      <c r="CJ760" s="1276"/>
      <c r="CK760" s="1285">
        <f t="shared" si="18"/>
        <v>0</v>
      </c>
      <c r="CL760" s="1287"/>
      <c r="CM760" s="1274">
        <f t="shared" si="19"/>
        <v>0</v>
      </c>
      <c r="CN760" s="1276"/>
      <c r="CP760" s="1268">
        <f t="shared" si="20"/>
        <v>0</v>
      </c>
      <c r="CQ760" s="1269"/>
      <c r="CR760" s="1269"/>
      <c r="CS760" s="1269"/>
      <c r="CT760" s="1270"/>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308">
        <f t="shared" si="26"/>
        <v>0</v>
      </c>
      <c r="DV760" s="1308"/>
      <c r="DW760" s="1308"/>
      <c r="DX760" s="1308"/>
      <c r="DY760" s="1308"/>
      <c r="DZ760" s="1308">
        <f t="shared" si="27"/>
        <v>0</v>
      </c>
      <c r="EA760" s="1308"/>
      <c r="EB760" s="1308"/>
      <c r="EC760" s="1308"/>
      <c r="ED760" s="1308"/>
      <c r="EE760" s="1308">
        <f t="shared" si="28"/>
        <v>0</v>
      </c>
      <c r="EF760" s="1308"/>
      <c r="EG760" s="1308"/>
      <c r="EH760" s="1308"/>
      <c r="EI760" s="1308"/>
      <c r="EJ760" s="1308">
        <f t="shared" si="29"/>
        <v>0</v>
      </c>
      <c r="EK760" s="1308"/>
      <c r="EL760" s="1308"/>
      <c r="EM760" s="1308"/>
      <c r="EN760" s="1308"/>
      <c r="EO760" s="1308">
        <f t="shared" si="30"/>
        <v>0</v>
      </c>
      <c r="EP760" s="1308"/>
      <c r="EQ760" s="1308"/>
      <c r="ER760" s="1308"/>
      <c r="ES760" s="1308"/>
      <c r="ET760" s="1308">
        <f t="shared" si="31"/>
        <v>0</v>
      </c>
      <c r="EU760" s="1308"/>
      <c r="EV760" s="1308"/>
      <c r="EW760" s="1308"/>
      <c r="EX760" s="1308"/>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2.95" customHeight="1">
      <c r="A761"/>
      <c r="B761" s="1520" t="s">
        <v>125</v>
      </c>
      <c r="C761" s="1521"/>
      <c r="D761" s="1521"/>
      <c r="E761" s="1521"/>
      <c r="F761" s="1523"/>
      <c r="G761" s="1640">
        <f>SUM(G726:G760)</f>
        <v>153</v>
      </c>
      <c r="H761" s="1641"/>
      <c r="I761" s="1641"/>
      <c r="J761" s="1642"/>
      <c r="K761" s="898" t="s">
        <v>124</v>
      </c>
      <c r="L761" s="5"/>
      <c r="M761" s="5"/>
      <c r="N761" s="46"/>
      <c r="O761" s="1292">
        <f>SUMPRODUCT(G726:G760,O726:O760)</f>
        <v>295550.59999999998</v>
      </c>
      <c r="P761" s="1293"/>
      <c r="Q761" s="1293"/>
      <c r="R761" s="1293"/>
      <c r="S761" s="1294"/>
      <c r="T761"/>
      <c r="U761"/>
      <c r="V761"/>
      <c r="W761"/>
      <c r="X761" s="900" t="s">
        <v>898</v>
      </c>
      <c r="Y761" s="899"/>
      <c r="Z761" s="899"/>
      <c r="AA761" s="899"/>
      <c r="AB761" s="901"/>
      <c r="AC761" s="1525">
        <f>BH761</f>
        <v>0.6</v>
      </c>
      <c r="AD761" s="1526"/>
      <c r="AE761" s="1526"/>
      <c r="AF761" s="1526"/>
      <c r="AG761" s="1527"/>
      <c r="AH761" s="1525">
        <f>IFERROR(BU761,"")</f>
        <v>0.60003991418450331</v>
      </c>
      <c r="AI761" s="1526"/>
      <c r="AJ761" s="1527"/>
      <c r="AK761"/>
      <c r="AL761"/>
      <c r="AM761"/>
      <c r="AN761"/>
      <c r="AO761"/>
      <c r="AP761" s="205"/>
      <c r="AQ761" s="205"/>
      <c r="AR761" s="205"/>
      <c r="AS761" s="205"/>
      <c r="AT761"/>
      <c r="AU761"/>
      <c r="AV761"/>
      <c r="AW761"/>
      <c r="AX761"/>
      <c r="AY761"/>
      <c r="AZ761" s="34"/>
      <c r="BA761" s="34"/>
      <c r="BB761" s="34"/>
      <c r="BC761" s="34"/>
      <c r="BE761" s="290" t="s">
        <v>897</v>
      </c>
      <c r="BF761" s="299">
        <f>SUM(BF726:BF760)</f>
        <v>153</v>
      </c>
      <c r="BG761" s="300">
        <f>SUM(BG726:BG760)</f>
        <v>1</v>
      </c>
      <c r="BH761" s="300">
        <f>SUM(BH726:BH760)</f>
        <v>0.6</v>
      </c>
      <c r="BI761"/>
      <c r="BJ761"/>
      <c r="BK761"/>
      <c r="BL761"/>
      <c r="BO761"/>
      <c r="BP761"/>
      <c r="BQ761"/>
      <c r="BR761"/>
      <c r="BS761" s="855">
        <f>SUM(BS726:BS760)</f>
        <v>153</v>
      </c>
      <c r="BT761" s="300">
        <f>SUM(BT726:BT760)</f>
        <v>1</v>
      </c>
      <c r="BU761" s="300">
        <f>SUM(BU726:BU760)</f>
        <v>0.60003991418450331</v>
      </c>
      <c r="CI761" s="1285">
        <f>SUM(CI726:CJ760)</f>
        <v>17</v>
      </c>
      <c r="CJ761" s="1287"/>
      <c r="CM761" s="1285">
        <f>SUM(CM726:CN760)</f>
        <v>16</v>
      </c>
      <c r="CN761" s="1287"/>
      <c r="CP761" s="1285">
        <f>SUM(CP726:CT760)</f>
        <v>0</v>
      </c>
      <c r="CQ761" s="1286"/>
      <c r="CR761" s="1286"/>
      <c r="CS761" s="1286"/>
      <c r="CT761" s="1287"/>
      <c r="CU761" s="1310">
        <f>SUM(CU726:CY760)</f>
        <v>61</v>
      </c>
      <c r="CV761" s="1310"/>
      <c r="CW761" s="1310"/>
      <c r="CX761" s="1310"/>
      <c r="CY761" s="1310"/>
      <c r="CZ761" s="1310">
        <f>SUM(CZ726:DD760)</f>
        <v>48</v>
      </c>
      <c r="DA761" s="1310"/>
      <c r="DB761" s="1310"/>
      <c r="DC761" s="1310"/>
      <c r="DD761" s="1310"/>
      <c r="DE761" s="1310">
        <f>SUM(DE726:DI760)</f>
        <v>44</v>
      </c>
      <c r="DF761" s="1310"/>
      <c r="DG761" s="1310"/>
      <c r="DH761" s="1310"/>
      <c r="DI761" s="1310"/>
      <c r="DJ761" s="1310">
        <f>SUM(DJ726:DN760)</f>
        <v>0</v>
      </c>
      <c r="DK761" s="1310"/>
      <c r="DL761" s="1310"/>
      <c r="DM761" s="1310"/>
      <c r="DN761" s="1310"/>
      <c r="DO761" s="1310">
        <f>SUM(DO726:DS760)</f>
        <v>0</v>
      </c>
      <c r="DP761" s="1310"/>
      <c r="DQ761" s="1310"/>
      <c r="DR761" s="1310"/>
      <c r="DS761" s="1310"/>
      <c r="DT761" s="354"/>
      <c r="DU761" s="1310">
        <f>SUM(DU726:DY760)</f>
        <v>0</v>
      </c>
      <c r="DV761" s="1310"/>
      <c r="DW761" s="1310"/>
      <c r="DX761" s="1310"/>
      <c r="DY761" s="1310"/>
      <c r="DZ761" s="1310">
        <f>SUM(DZ726:ED760)</f>
        <v>16</v>
      </c>
      <c r="EA761" s="1310"/>
      <c r="EB761" s="1310"/>
      <c r="EC761" s="1310"/>
      <c r="ED761" s="1310"/>
      <c r="EE761" s="1310">
        <f>SUM(EE726:EI760)</f>
        <v>0</v>
      </c>
      <c r="EF761" s="1310"/>
      <c r="EG761" s="1310"/>
      <c r="EH761" s="1310"/>
      <c r="EI761" s="1310"/>
      <c r="EJ761" s="1310">
        <f>SUM(EJ726:EN760)</f>
        <v>0</v>
      </c>
      <c r="EK761" s="1310"/>
      <c r="EL761" s="1310"/>
      <c r="EM761" s="1310"/>
      <c r="EN761" s="1310"/>
      <c r="EO761" s="1310">
        <f>SUM(EO726:ES760)</f>
        <v>0</v>
      </c>
      <c r="EP761" s="1310"/>
      <c r="EQ761" s="1310"/>
      <c r="ER761" s="1310"/>
      <c r="ES761" s="1310"/>
      <c r="ET761" s="1310">
        <f>SUM(ET726:EX760)</f>
        <v>0</v>
      </c>
      <c r="EU761" s="1310"/>
      <c r="EV761" s="1310"/>
      <c r="EW761" s="1310"/>
      <c r="EX761" s="1310"/>
      <c r="EY761"/>
      <c r="EZ761" s="1310">
        <f>SUM(EZ726:FD760)</f>
        <v>0</v>
      </c>
      <c r="FA761" s="1310"/>
      <c r="FB761" s="1310"/>
      <c r="FC761" s="1310"/>
      <c r="FD761" s="1310"/>
      <c r="FE761" s="1310">
        <f>SUM(FE726:FI760)</f>
        <v>3748</v>
      </c>
      <c r="FF761" s="1310"/>
      <c r="FG761" s="1310"/>
      <c r="FH761" s="1310"/>
      <c r="FI761" s="1310"/>
      <c r="FJ761" s="1310">
        <f>SUM(FJ726:FN760)</f>
        <v>5819.6</v>
      </c>
      <c r="FK761" s="1310"/>
      <c r="FL761" s="1310"/>
      <c r="FM761" s="1310"/>
      <c r="FN761" s="1310"/>
      <c r="FO761" s="1310">
        <f>SUM(FO726:FS760)</f>
        <v>4463.6000000000004</v>
      </c>
      <c r="FP761" s="1310"/>
      <c r="FQ761" s="1310"/>
      <c r="FR761" s="1310"/>
      <c r="FS761" s="1310"/>
      <c r="FT761" s="1310">
        <f>SUM(FT726:FX760)</f>
        <v>0</v>
      </c>
      <c r="FU761" s="1310"/>
      <c r="FV761" s="1310"/>
      <c r="FW761" s="1310"/>
      <c r="FX761" s="1310"/>
      <c r="FY761" s="1310">
        <f>SUM(FY726:GC760)</f>
        <v>0</v>
      </c>
      <c r="FZ761" s="1310"/>
      <c r="GA761" s="1310"/>
      <c r="GB761" s="1310"/>
      <c r="GC761" s="1310"/>
    </row>
    <row r="762" spans="1:185" s="3" customFormat="1" ht="12.95" customHeight="1">
      <c r="A762"/>
      <c r="B762" s="1745" t="s">
        <v>1864</v>
      </c>
      <c r="C762" s="1745"/>
      <c r="D762" s="1745"/>
      <c r="E762" s="1745"/>
      <c r="F762" s="1745"/>
      <c r="G762" s="1745"/>
      <c r="H762" s="1745"/>
      <c r="I762" s="1745"/>
      <c r="J762" s="1745"/>
      <c r="K762" s="1745"/>
      <c r="L762" s="1745"/>
      <c r="M762" s="1745"/>
      <c r="N762" s="1745"/>
      <c r="O762" s="1745"/>
      <c r="P762" s="1745"/>
      <c r="Q762" s="1745"/>
      <c r="R762" s="1745"/>
      <c r="S762" s="1745"/>
      <c r="T762" s="1745"/>
      <c r="U762" s="1745"/>
      <c r="V762" s="1745"/>
      <c r="W762" s="1745"/>
      <c r="X762" s="1745"/>
      <c r="Y762" s="1745"/>
      <c r="Z762" s="1745"/>
      <c r="AA762" s="1745"/>
      <c r="AB762" s="1745"/>
      <c r="AC762" s="1745"/>
      <c r="AD762" s="1745"/>
      <c r="AE762" s="1745"/>
      <c r="AF762" s="1745"/>
      <c r="AG762" s="1745"/>
      <c r="AH762" s="1745"/>
      <c r="AI762"/>
      <c r="AJ762"/>
      <c r="AK762"/>
      <c r="AT762"/>
      <c r="AU762"/>
      <c r="AV762"/>
      <c r="AW762"/>
      <c r="AX762"/>
      <c r="AY762"/>
      <c r="CD762"/>
      <c r="DN762" s="56" t="s">
        <v>1832</v>
      </c>
      <c r="DO762" s="1285">
        <f>CP761+CU761+CZ761+DE761+DJ761+DO761</f>
        <v>153</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5"/>
      <c r="C763" s="1745"/>
      <c r="D763" s="1745"/>
      <c r="E763" s="1745"/>
      <c r="F763" s="1745"/>
      <c r="G763" s="1745"/>
      <c r="H763" s="1745"/>
      <c r="I763" s="1745"/>
      <c r="J763" s="1745"/>
      <c r="K763" s="1745"/>
      <c r="L763" s="1745"/>
      <c r="M763" s="1745"/>
      <c r="N763" s="1745"/>
      <c r="O763" s="1745"/>
      <c r="P763" s="1745"/>
      <c r="Q763" s="1745"/>
      <c r="R763" s="1745"/>
      <c r="S763" s="1745"/>
      <c r="T763" s="1745"/>
      <c r="U763" s="1745"/>
      <c r="V763" s="1745"/>
      <c r="W763" s="1745"/>
      <c r="X763" s="1745"/>
      <c r="Y763" s="1745"/>
      <c r="Z763" s="1745"/>
      <c r="AA763" s="1745"/>
      <c r="AB763" s="1745"/>
      <c r="AC763" s="1745"/>
      <c r="AD763" s="1745"/>
      <c r="AE763" s="1745"/>
      <c r="AF763" s="1745"/>
      <c r="AG763" s="1745"/>
      <c r="AH763" s="174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61</v>
      </c>
      <c r="CZ763" s="3"/>
      <c r="DA763" s="3"/>
      <c r="DB763" s="3"/>
      <c r="DC763" s="3"/>
      <c r="DD763" s="857">
        <f>CZ761*2</f>
        <v>96</v>
      </c>
      <c r="DE763" s="3"/>
      <c r="DF763" s="3"/>
      <c r="DG763" s="3"/>
      <c r="DH763" s="3"/>
      <c r="DI763" s="857">
        <f>DE761*3</f>
        <v>132</v>
      </c>
      <c r="DJ763" s="3"/>
      <c r="DK763" s="3"/>
      <c r="DL763" s="3"/>
      <c r="DM763" s="3"/>
      <c r="DN763" s="857">
        <f>DJ761*4</f>
        <v>0</v>
      </c>
      <c r="DO763" s="3"/>
      <c r="DP763" s="3"/>
      <c r="DQ763" s="3"/>
      <c r="DR763" s="3"/>
      <c r="DS763" s="857">
        <f>DO761*5</f>
        <v>0</v>
      </c>
      <c r="DU763" s="857">
        <f>CT763+CY763+DD763+DI763+DN763+DS763</f>
        <v>289</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310">
        <f>DU763</f>
        <v>289</v>
      </c>
      <c r="P764" s="1310"/>
      <c r="Q764" s="1310"/>
      <c r="R764" s="1310"/>
      <c r="S764" s="965"/>
      <c r="T764" s="965"/>
      <c r="U764" s="118" t="s">
        <v>1863</v>
      </c>
      <c r="V764" s="1027"/>
      <c r="W764" s="1027"/>
      <c r="X764" s="1027"/>
      <c r="Y764" s="1028"/>
      <c r="Z764" s="1028"/>
      <c r="AA764" s="1028"/>
      <c r="AB764" s="1028"/>
      <c r="AC764" s="1027"/>
      <c r="AD764" s="1027"/>
      <c r="AE764" s="1027"/>
      <c r="AF764" s="1027"/>
      <c r="AG764" s="1778">
        <v>0</v>
      </c>
      <c r="AH764" s="1778"/>
      <c r="AI764" s="1778"/>
      <c r="AJ764" s="177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6" t="str">
        <f>IF(G761&lt;&gt;AG449,"! Total Low-Income Units in the Unit Mix Table above does not match the number of Total Low-Income Units on row #"&amp;TEXT(ROW(D449),"#"),"")</f>
        <v/>
      </c>
      <c r="D765" s="1796"/>
      <c r="E765" s="1796"/>
      <c r="F765" s="1796"/>
      <c r="G765" s="1796"/>
      <c r="H765" s="1796"/>
      <c r="I765" s="1796"/>
      <c r="J765" s="1796"/>
      <c r="K765" s="1796"/>
      <c r="L765" s="1796"/>
      <c r="M765" s="1796"/>
      <c r="N765" s="1796"/>
      <c r="O765" s="1796"/>
      <c r="P765" s="1796"/>
      <c r="Q765" s="1796"/>
      <c r="R765" s="1796"/>
      <c r="S765" s="1796"/>
      <c r="T765" s="1796"/>
      <c r="U765" s="1796"/>
      <c r="V765" s="1796"/>
      <c r="W765" s="1796"/>
      <c r="X765" s="1796"/>
      <c r="Y765" s="1796"/>
      <c r="Z765" s="1796"/>
      <c r="AA765" s="1796"/>
      <c r="AB765" s="1796"/>
      <c r="AC765" s="1796"/>
      <c r="AD765" s="1796"/>
      <c r="AE765" s="1796"/>
      <c r="AF765" s="1796"/>
      <c r="AG765" s="1796"/>
      <c r="AH765" s="1796"/>
      <c r="AI765" s="1796"/>
      <c r="AJ765" s="1796"/>
      <c r="AK765" s="1796"/>
      <c r="AL765" s="1796"/>
      <c r="AM765" s="179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6"/>
      <c r="D766" s="1796"/>
      <c r="E766" s="1796"/>
      <c r="F766" s="1796"/>
      <c r="G766" s="1796"/>
      <c r="H766" s="1796"/>
      <c r="I766" s="1796"/>
      <c r="J766" s="1796"/>
      <c r="K766" s="1796"/>
      <c r="L766" s="1796"/>
      <c r="M766" s="1796"/>
      <c r="N766" s="1796"/>
      <c r="O766" s="1796"/>
      <c r="P766" s="1796"/>
      <c r="Q766" s="1796"/>
      <c r="R766" s="1796"/>
      <c r="S766" s="1796"/>
      <c r="T766" s="1796"/>
      <c r="U766" s="1796"/>
      <c r="V766" s="1796"/>
      <c r="W766" s="1796"/>
      <c r="X766" s="1796"/>
      <c r="Y766" s="1796"/>
      <c r="Z766" s="1796"/>
      <c r="AA766" s="1796"/>
      <c r="AB766" s="1796"/>
      <c r="AC766" s="1796"/>
      <c r="AD766" s="1796"/>
      <c r="AE766" s="1796"/>
      <c r="AF766" s="1796"/>
      <c r="AG766" s="1796"/>
      <c r="AH766" s="1796"/>
      <c r="AI766" s="1796"/>
      <c r="AJ766" s="1796"/>
      <c r="AK766" s="1796"/>
      <c r="AL766" s="1796"/>
      <c r="AM766" s="179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3" t="s">
        <v>590</v>
      </c>
      <c r="AE767" s="1643"/>
      <c r="AF767" s="164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11" t="s">
        <v>2042</v>
      </c>
      <c r="D771" s="1511"/>
      <c r="E771" s="1511"/>
      <c r="F771" s="1511"/>
      <c r="G771" s="1511"/>
      <c r="H771" s="1511"/>
      <c r="I771" s="1511"/>
      <c r="J771" s="1511"/>
      <c r="K771" s="1511"/>
      <c r="L771" s="1511"/>
      <c r="M771" s="1511"/>
      <c r="N771" s="1511"/>
      <c r="O771" s="1511"/>
      <c r="P771" s="1511"/>
      <c r="Q771" s="1511"/>
      <c r="R771" s="1511"/>
      <c r="S771" s="1511"/>
      <c r="T771" s="1511"/>
      <c r="U771" s="1511"/>
      <c r="V771" s="1511"/>
      <c r="W771" s="1511"/>
      <c r="X771" s="1511"/>
      <c r="Y771" s="1511"/>
      <c r="Z771" s="1511"/>
      <c r="AA771" s="1511"/>
      <c r="AB771" s="1511"/>
      <c r="AC771" s="1511"/>
      <c r="AD771" s="1511"/>
      <c r="AE771" s="1511"/>
      <c r="AF771" s="1511"/>
      <c r="AG771" s="1511"/>
      <c r="AH771" s="1511"/>
      <c r="AI771" s="1511"/>
      <c r="AJ771" s="1511"/>
      <c r="AK771" s="1511"/>
      <c r="AL771" s="1511"/>
      <c r="AM771" s="1511"/>
      <c r="AN771" s="1511"/>
      <c r="AO771" s="1511"/>
      <c r="AP771" s="1511"/>
      <c r="AQ771" s="1511"/>
      <c r="AR771" s="151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11"/>
      <c r="D772" s="1511"/>
      <c r="E772" s="1511"/>
      <c r="F772" s="1511"/>
      <c r="G772" s="1511"/>
      <c r="H772" s="1511"/>
      <c r="I772" s="1511"/>
      <c r="J772" s="1511"/>
      <c r="K772" s="1511"/>
      <c r="L772" s="1511"/>
      <c r="M772" s="1511"/>
      <c r="N772" s="1511"/>
      <c r="O772" s="1511"/>
      <c r="P772" s="1511"/>
      <c r="Q772" s="1511"/>
      <c r="R772" s="1511"/>
      <c r="S772" s="1511"/>
      <c r="T772" s="1511"/>
      <c r="U772" s="1511"/>
      <c r="V772" s="1511"/>
      <c r="W772" s="1511"/>
      <c r="X772" s="1511"/>
      <c r="Y772" s="1511"/>
      <c r="Z772" s="1511"/>
      <c r="AA772" s="1511"/>
      <c r="AB772" s="1511"/>
      <c r="AC772" s="1511"/>
      <c r="AD772" s="1511"/>
      <c r="AE772" s="1511"/>
      <c r="AF772" s="1511"/>
      <c r="AG772" s="1511"/>
      <c r="AH772" s="1511"/>
      <c r="AI772" s="1511"/>
      <c r="AJ772" s="1511"/>
      <c r="AK772" s="1511"/>
      <c r="AL772" s="1511"/>
      <c r="AM772" s="1511"/>
      <c r="AN772" s="1511"/>
      <c r="AO772" s="1511"/>
      <c r="AP772" s="1511"/>
      <c r="AQ772" s="1511"/>
      <c r="AR772" s="151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11"/>
      <c r="D773" s="1511"/>
      <c r="E773" s="1511"/>
      <c r="F773" s="1511"/>
      <c r="G773" s="1511"/>
      <c r="H773" s="1511"/>
      <c r="I773" s="1511"/>
      <c r="J773" s="1511"/>
      <c r="K773" s="1511"/>
      <c r="L773" s="1511"/>
      <c r="M773" s="1511"/>
      <c r="N773" s="1511"/>
      <c r="O773" s="1511"/>
      <c r="P773" s="1511"/>
      <c r="Q773" s="1511"/>
      <c r="R773" s="1511"/>
      <c r="S773" s="1511"/>
      <c r="T773" s="1511"/>
      <c r="U773" s="1511"/>
      <c r="V773" s="1511"/>
      <c r="W773" s="1511"/>
      <c r="X773" s="1511"/>
      <c r="Y773" s="1511"/>
      <c r="Z773" s="1511"/>
      <c r="AA773" s="1511"/>
      <c r="AB773" s="1511"/>
      <c r="AC773" s="1511"/>
      <c r="AD773" s="1511"/>
      <c r="AE773" s="1511"/>
      <c r="AF773" s="1511"/>
      <c r="AG773" s="1511"/>
      <c r="AH773" s="1511"/>
      <c r="AI773" s="1511"/>
      <c r="AJ773" s="1511"/>
      <c r="AK773" s="1511"/>
      <c r="AL773" s="1511"/>
      <c r="AM773" s="1511"/>
      <c r="AN773" s="1511"/>
      <c r="AO773" s="1511"/>
      <c r="AP773" s="1511"/>
      <c r="AQ773" s="1511"/>
      <c r="AR773" s="151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11" t="s">
        <v>2043</v>
      </c>
      <c r="D774" s="1511"/>
      <c r="E774" s="1511"/>
      <c r="F774" s="1511"/>
      <c r="G774" s="1511"/>
      <c r="H774" s="1511"/>
      <c r="I774" s="1511"/>
      <c r="J774" s="1511"/>
      <c r="K774" s="1511"/>
      <c r="L774" s="1511"/>
      <c r="M774" s="1511"/>
      <c r="N774" s="1511"/>
      <c r="O774" s="1511"/>
      <c r="P774" s="1511"/>
      <c r="Q774" s="1511"/>
      <c r="R774" s="1511"/>
      <c r="S774" s="1511"/>
      <c r="T774" s="1511"/>
      <c r="U774" s="1511"/>
      <c r="V774" s="1511"/>
      <c r="W774" s="1511"/>
      <c r="X774" s="1511"/>
      <c r="Y774" s="1511"/>
      <c r="Z774" s="1511"/>
      <c r="AA774" s="1511"/>
      <c r="AB774" s="1511"/>
      <c r="AC774" s="1511"/>
      <c r="AD774" s="1511"/>
      <c r="AE774" s="1511"/>
      <c r="AF774" s="1511"/>
      <c r="AG774" s="1511"/>
      <c r="AH774" s="1511"/>
      <c r="AI774" s="1511"/>
      <c r="AJ774" s="1511"/>
      <c r="AK774" s="1511"/>
      <c r="AL774" s="1511"/>
      <c r="AM774" s="1511"/>
      <c r="AN774" s="1511"/>
      <c r="AO774" s="1511"/>
      <c r="AP774" s="1511"/>
      <c r="AQ774" s="1511"/>
      <c r="AR774" s="151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11"/>
      <c r="D775" s="1511"/>
      <c r="E775" s="1511"/>
      <c r="F775" s="1511"/>
      <c r="G775" s="1511"/>
      <c r="H775" s="1511"/>
      <c r="I775" s="1511"/>
      <c r="J775" s="1511"/>
      <c r="K775" s="1511"/>
      <c r="L775" s="1511"/>
      <c r="M775" s="1511"/>
      <c r="N775" s="1511"/>
      <c r="O775" s="1511"/>
      <c r="P775" s="1511"/>
      <c r="Q775" s="1511"/>
      <c r="R775" s="1511"/>
      <c r="S775" s="1511"/>
      <c r="T775" s="1511"/>
      <c r="U775" s="1511"/>
      <c r="V775" s="1511"/>
      <c r="W775" s="1511"/>
      <c r="X775" s="1511"/>
      <c r="Y775" s="1511"/>
      <c r="Z775" s="1511"/>
      <c r="AA775" s="1511"/>
      <c r="AB775" s="1511"/>
      <c r="AC775" s="1511"/>
      <c r="AD775" s="1511"/>
      <c r="AE775" s="1511"/>
      <c r="AF775" s="1511"/>
      <c r="AG775" s="1511"/>
      <c r="AH775" s="1511"/>
      <c r="AI775" s="1511"/>
      <c r="AJ775" s="1511"/>
      <c r="AK775" s="1511"/>
      <c r="AL775" s="1511"/>
      <c r="AM775" s="1511"/>
      <c r="AN775" s="1511"/>
      <c r="AO775" s="1511"/>
      <c r="AP775" s="1511"/>
      <c r="AQ775" s="1511"/>
      <c r="AR775" s="151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11"/>
      <c r="D776" s="1511"/>
      <c r="E776" s="1511"/>
      <c r="F776" s="1511"/>
      <c r="G776" s="1511"/>
      <c r="H776" s="1511"/>
      <c r="I776" s="1511"/>
      <c r="J776" s="1511"/>
      <c r="K776" s="1511"/>
      <c r="L776" s="1511"/>
      <c r="M776" s="1511"/>
      <c r="N776" s="1511"/>
      <c r="O776" s="1511"/>
      <c r="P776" s="1511"/>
      <c r="Q776" s="1511"/>
      <c r="R776" s="1511"/>
      <c r="S776" s="1511"/>
      <c r="T776" s="1511"/>
      <c r="U776" s="1511"/>
      <c r="V776" s="1511"/>
      <c r="W776" s="1511"/>
      <c r="X776" s="1511"/>
      <c r="Y776" s="1511"/>
      <c r="Z776" s="1511"/>
      <c r="AA776" s="1511"/>
      <c r="AB776" s="1511"/>
      <c r="AC776" s="1511"/>
      <c r="AD776" s="1511"/>
      <c r="AE776" s="1511"/>
      <c r="AF776" s="1511"/>
      <c r="AG776" s="1511"/>
      <c r="AH776" s="1511"/>
      <c r="AI776" s="1511"/>
      <c r="AJ776" s="1511"/>
      <c r="AK776" s="1511"/>
      <c r="AL776" s="1511"/>
      <c r="AM776" s="1511"/>
      <c r="AN776" s="1511"/>
      <c r="AO776" s="1511"/>
      <c r="AP776" s="1511"/>
      <c r="AQ776" s="1511"/>
      <c r="AR776" s="151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9" t="s">
        <v>389</v>
      </c>
      <c r="K777" s="1391"/>
      <c r="L777" s="1391"/>
      <c r="M777" s="1391"/>
      <c r="N777" s="1392"/>
      <c r="O777" s="1552" t="s">
        <v>285</v>
      </c>
      <c r="P777" s="1552"/>
      <c r="Q777" s="1552"/>
      <c r="R777" s="1552"/>
      <c r="S777" s="1552"/>
      <c r="T777" s="1530" t="s">
        <v>1666</v>
      </c>
      <c r="U777" s="1531"/>
      <c r="V777" s="1531"/>
      <c r="W777" s="1532"/>
      <c r="X777" s="1529" t="s">
        <v>446</v>
      </c>
      <c r="Y777" s="1391"/>
      <c r="Z777" s="1391"/>
      <c r="AA777" s="1391"/>
      <c r="AB777" s="1392"/>
      <c r="AC777" s="1529" t="s">
        <v>286</v>
      </c>
      <c r="AD777" s="1391"/>
      <c r="AE777" s="1391"/>
      <c r="AF777" s="1391"/>
      <c r="AG777" s="139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93"/>
      <c r="K778" s="1394"/>
      <c r="L778" s="1394"/>
      <c r="M778" s="1394"/>
      <c r="N778" s="1395"/>
      <c r="O778" s="1552"/>
      <c r="P778" s="1552"/>
      <c r="Q778" s="1552"/>
      <c r="R778" s="1552"/>
      <c r="S778" s="1552"/>
      <c r="T778" s="1533"/>
      <c r="U778" s="1534"/>
      <c r="V778" s="1534"/>
      <c r="W778" s="1535"/>
      <c r="X778" s="1393"/>
      <c r="Y778" s="1394"/>
      <c r="Z778" s="1394"/>
      <c r="AA778" s="1394"/>
      <c r="AB778" s="1395"/>
      <c r="AC778" s="1393"/>
      <c r="AD778" s="1394"/>
      <c r="AE778" s="1394"/>
      <c r="AF778" s="1394"/>
      <c r="AG778" s="139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93"/>
      <c r="K779" s="1394"/>
      <c r="L779" s="1394"/>
      <c r="M779" s="1394"/>
      <c r="N779" s="1395"/>
      <c r="O779" s="1552"/>
      <c r="P779" s="1552"/>
      <c r="Q779" s="1552"/>
      <c r="R779" s="1552"/>
      <c r="S779" s="1552"/>
      <c r="T779" s="1533"/>
      <c r="U779" s="1534"/>
      <c r="V779" s="1534"/>
      <c r="W779" s="1535"/>
      <c r="X779" s="1393"/>
      <c r="Y779" s="1394"/>
      <c r="Z779" s="1394"/>
      <c r="AA779" s="1394"/>
      <c r="AB779" s="1395"/>
      <c r="AC779" s="1393"/>
      <c r="AD779" s="1394"/>
      <c r="AE779" s="1394"/>
      <c r="AF779" s="1394"/>
      <c r="AG779" s="139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6"/>
      <c r="K780" s="1397"/>
      <c r="L780" s="1397"/>
      <c r="M780" s="1397"/>
      <c r="N780" s="1398"/>
      <c r="O780" s="1552"/>
      <c r="P780" s="1552"/>
      <c r="Q780" s="1552"/>
      <c r="R780" s="1552"/>
      <c r="S780" s="1552"/>
      <c r="T780" s="1536"/>
      <c r="U780" s="1537"/>
      <c r="V780" s="1537"/>
      <c r="W780" s="1538"/>
      <c r="X780" s="1396"/>
      <c r="Y780" s="1397"/>
      <c r="Z780" s="1397"/>
      <c r="AA780" s="1397"/>
      <c r="AB780" s="1398"/>
      <c r="AC780" s="1396"/>
      <c r="AD780" s="1397"/>
      <c r="AE780" s="1397"/>
      <c r="AF780" s="1397"/>
      <c r="AG780" s="139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9" t="s">
        <v>163</v>
      </c>
      <c r="K781" s="1290"/>
      <c r="L781" s="1290"/>
      <c r="M781" s="1290"/>
      <c r="N781" s="1291"/>
      <c r="O781" s="1408">
        <v>1</v>
      </c>
      <c r="P781" s="1408"/>
      <c r="Q781" s="1408"/>
      <c r="R781" s="1408"/>
      <c r="S781" s="1408"/>
      <c r="T781" s="1539">
        <v>779</v>
      </c>
      <c r="U781" s="1540"/>
      <c r="V781" s="1540"/>
      <c r="W781" s="1541"/>
      <c r="X781" s="1305">
        <v>0</v>
      </c>
      <c r="Y781" s="1306"/>
      <c r="Z781" s="1306"/>
      <c r="AA781" s="1306"/>
      <c r="AB781" s="1307"/>
      <c r="AC781" s="1292">
        <f>X781*O781</f>
        <v>0</v>
      </c>
      <c r="AD781" s="1293"/>
      <c r="AE781" s="1293"/>
      <c r="AF781" s="1293"/>
      <c r="AG781" s="129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8">
        <f>IF(J781="SRO/Studio",O781,0)</f>
        <v>0</v>
      </c>
      <c r="CQ781" s="1269"/>
      <c r="CR781" s="1269"/>
      <c r="CS781" s="1269"/>
      <c r="CT781" s="1270"/>
      <c r="CU781" s="1288">
        <f>IF(J781="1 Bedroom",O781,0)</f>
        <v>0</v>
      </c>
      <c r="CV781" s="1288"/>
      <c r="CW781" s="1288"/>
      <c r="CX781" s="1288"/>
      <c r="CY781" s="1288"/>
      <c r="CZ781" s="1288">
        <f>IF(J781="2 Bedrooms",O781,0)</f>
        <v>1</v>
      </c>
      <c r="DA781" s="1288"/>
      <c r="DB781" s="1288"/>
      <c r="DC781" s="1288"/>
      <c r="DD781" s="1288"/>
      <c r="DE781" s="1288">
        <f>IF(J781="3 Bedrooms",O781,0)</f>
        <v>0</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5" customHeight="1">
      <c r="J782" s="1289"/>
      <c r="K782" s="1290"/>
      <c r="L782" s="1290"/>
      <c r="M782" s="1290"/>
      <c r="N782" s="1291"/>
      <c r="O782" s="1408"/>
      <c r="P782" s="1408"/>
      <c r="Q782" s="1408"/>
      <c r="R782" s="1408"/>
      <c r="S782" s="1408"/>
      <c r="T782" s="1539"/>
      <c r="U782" s="1540"/>
      <c r="V782" s="1540"/>
      <c r="W782" s="1541"/>
      <c r="X782" s="1305"/>
      <c r="Y782" s="1306"/>
      <c r="Z782" s="1306"/>
      <c r="AA782" s="1306"/>
      <c r="AB782" s="1307"/>
      <c r="AC782" s="1292">
        <f>X782*O782</f>
        <v>0</v>
      </c>
      <c r="AD782" s="1293"/>
      <c r="AE782" s="1293"/>
      <c r="AF782" s="1293"/>
      <c r="AG782" s="129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8">
        <f>IF(J782="SRO/Studio",O782,0)</f>
        <v>0</v>
      </c>
      <c r="CQ782" s="1269"/>
      <c r="CR782" s="1269"/>
      <c r="CS782" s="1269"/>
      <c r="CT782" s="1270"/>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5" customHeight="1">
      <c r="J783" s="1289"/>
      <c r="K783" s="1290"/>
      <c r="L783" s="1290"/>
      <c r="M783" s="1290"/>
      <c r="N783" s="1291"/>
      <c r="O783" s="1408"/>
      <c r="P783" s="1408"/>
      <c r="Q783" s="1408"/>
      <c r="R783" s="1408"/>
      <c r="S783" s="1408"/>
      <c r="T783" s="1539"/>
      <c r="U783" s="1540"/>
      <c r="V783" s="1540"/>
      <c r="W783" s="1541"/>
      <c r="X783" s="1305"/>
      <c r="Y783" s="1306"/>
      <c r="Z783" s="1306"/>
      <c r="AA783" s="1306"/>
      <c r="AB783" s="1307"/>
      <c r="AC783" s="1292">
        <f>X783*O783</f>
        <v>0</v>
      </c>
      <c r="AD783" s="1293"/>
      <c r="AE783" s="1293"/>
      <c r="AF783" s="1293"/>
      <c r="AG783" s="129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8">
        <f>IF(J783="SRO/Studio",O783,0)</f>
        <v>0</v>
      </c>
      <c r="CQ783" s="1269"/>
      <c r="CR783" s="1269"/>
      <c r="CS783" s="1269"/>
      <c r="CT783" s="1270"/>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5" customHeight="1">
      <c r="J784" s="1289"/>
      <c r="K784" s="1290"/>
      <c r="L784" s="1290"/>
      <c r="M784" s="1290"/>
      <c r="N784" s="1291"/>
      <c r="O784" s="1408"/>
      <c r="P784" s="1408"/>
      <c r="Q784" s="1408"/>
      <c r="R784" s="1408"/>
      <c r="S784" s="1408"/>
      <c r="T784" s="1539"/>
      <c r="U784" s="1540"/>
      <c r="V784" s="1540"/>
      <c r="W784" s="1541"/>
      <c r="X784" s="1305"/>
      <c r="Y784" s="1306"/>
      <c r="Z784" s="1306"/>
      <c r="AA784" s="1306"/>
      <c r="AB784" s="1307"/>
      <c r="AC784" s="1292">
        <f>X784*O784</f>
        <v>0</v>
      </c>
      <c r="AD784" s="1293"/>
      <c r="AE784" s="1293"/>
      <c r="AF784" s="1293"/>
      <c r="AG784" s="129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8">
        <f>IF(J784="SRO/Studio",O784,0)</f>
        <v>0</v>
      </c>
      <c r="CQ784" s="1269"/>
      <c r="CR784" s="1269"/>
      <c r="CS784" s="1269"/>
      <c r="CT784" s="1270"/>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5" customHeight="1">
      <c r="J785" s="1520" t="s">
        <v>125</v>
      </c>
      <c r="K785" s="1521"/>
      <c r="L785" s="1521"/>
      <c r="M785" s="1521"/>
      <c r="N785" s="1523"/>
      <c r="O785" s="1274">
        <f>SUM(O781:S784)</f>
        <v>1</v>
      </c>
      <c r="P785" s="1275"/>
      <c r="Q785" s="1275"/>
      <c r="R785" s="1275"/>
      <c r="S785" s="1276"/>
      <c r="X785" s="1520" t="s">
        <v>124</v>
      </c>
      <c r="Y785" s="1521"/>
      <c r="Z785" s="1521"/>
      <c r="AA785" s="1521"/>
      <c r="AB785" s="1523"/>
      <c r="AC785" s="1292">
        <f>SUM(AC781:AG784)</f>
        <v>0</v>
      </c>
      <c r="AD785" s="1293"/>
      <c r="AE785" s="1293"/>
      <c r="AF785" s="1293"/>
      <c r="AG785" s="129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4">
        <f>SUM(CP781:CT784)</f>
        <v>0</v>
      </c>
      <c r="CQ785" s="1275"/>
      <c r="CR785" s="1275"/>
      <c r="CS785" s="1275"/>
      <c r="CT785" s="1276"/>
      <c r="CU785" s="1271">
        <f>SUM(CU781:CY784)</f>
        <v>0</v>
      </c>
      <c r="CV785" s="1272"/>
      <c r="CW785" s="1272"/>
      <c r="CX785" s="1272"/>
      <c r="CY785" s="1273"/>
      <c r="CZ785" s="1271">
        <f>SUM(CZ781:DD784)</f>
        <v>1</v>
      </c>
      <c r="DA785" s="1272"/>
      <c r="DB785" s="1272"/>
      <c r="DC785" s="1272"/>
      <c r="DD785" s="1273"/>
      <c r="DE785" s="1271">
        <f>SUM(DE781:DI784)</f>
        <v>0</v>
      </c>
      <c r="DF785" s="1272"/>
      <c r="DG785" s="1272"/>
      <c r="DH785" s="1272"/>
      <c r="DI785" s="1273"/>
      <c r="DJ785" s="1271">
        <f>SUM(DJ781:DN784)</f>
        <v>0</v>
      </c>
      <c r="DK785" s="1272"/>
      <c r="DL785" s="1272"/>
      <c r="DM785" s="1272"/>
      <c r="DN785" s="1273"/>
      <c r="DO785" s="1271">
        <f>SUM(DO781:DS784)</f>
        <v>0</v>
      </c>
      <c r="DP785" s="1272"/>
      <c r="DQ785" s="1272"/>
      <c r="DR785" s="1272"/>
      <c r="DS785" s="1273"/>
      <c r="DU785" s="857">
        <f>CP785+CU785+CZ785+DE785+DJ785+DO785</f>
        <v>1</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2.95" customHeight="1">
      <c r="B787" s="56"/>
      <c r="C787" s="56"/>
      <c r="D787" s="56"/>
      <c r="E787" s="56"/>
      <c r="F787" s="56"/>
      <c r="G787" s="6"/>
      <c r="H787" s="6"/>
      <c r="I787" s="6"/>
      <c r="J787" s="1301" t="s">
        <v>668</v>
      </c>
      <c r="K787" s="1301"/>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9" t="s">
        <v>389</v>
      </c>
      <c r="K791" s="1391"/>
      <c r="L791" s="1391"/>
      <c r="M791" s="1391"/>
      <c r="N791" s="1392"/>
      <c r="O791" s="1552" t="s">
        <v>285</v>
      </c>
      <c r="P791" s="1552"/>
      <c r="Q791" s="1552"/>
      <c r="R791" s="1552"/>
      <c r="S791" s="1552"/>
      <c r="T791" s="1530" t="s">
        <v>1666</v>
      </c>
      <c r="U791" s="1531"/>
      <c r="V791" s="1531"/>
      <c r="W791" s="1532"/>
      <c r="X791" s="1529" t="s">
        <v>446</v>
      </c>
      <c r="Y791" s="1391"/>
      <c r="Z791" s="1391"/>
      <c r="AA791" s="1391"/>
      <c r="AB791" s="1392"/>
      <c r="AC791" s="1529" t="s">
        <v>286</v>
      </c>
      <c r="AD791" s="1391"/>
      <c r="AE791" s="1391"/>
      <c r="AF791" s="1391"/>
      <c r="AG791" s="139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93"/>
      <c r="K792" s="1394"/>
      <c r="L792" s="1394"/>
      <c r="M792" s="1394"/>
      <c r="N792" s="1395"/>
      <c r="O792" s="1552"/>
      <c r="P792" s="1552"/>
      <c r="Q792" s="1552"/>
      <c r="R792" s="1552"/>
      <c r="S792" s="1552"/>
      <c r="T792" s="1533"/>
      <c r="U792" s="1534"/>
      <c r="V792" s="1534"/>
      <c r="W792" s="1535"/>
      <c r="X792" s="1393"/>
      <c r="Y792" s="1394"/>
      <c r="Z792" s="1394"/>
      <c r="AA792" s="1394"/>
      <c r="AB792" s="1395"/>
      <c r="AC792" s="1393"/>
      <c r="AD792" s="1394"/>
      <c r="AE792" s="1394"/>
      <c r="AF792" s="1394"/>
      <c r="AG792" s="139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93"/>
      <c r="K793" s="1394"/>
      <c r="L793" s="1394"/>
      <c r="M793" s="1394"/>
      <c r="N793" s="1395"/>
      <c r="O793" s="1552"/>
      <c r="P793" s="1552"/>
      <c r="Q793" s="1552"/>
      <c r="R793" s="1552"/>
      <c r="S793" s="1552"/>
      <c r="T793" s="1533"/>
      <c r="U793" s="1534"/>
      <c r="V793" s="1534"/>
      <c r="W793" s="1535"/>
      <c r="X793" s="1393"/>
      <c r="Y793" s="1394"/>
      <c r="Z793" s="1394"/>
      <c r="AA793" s="1394"/>
      <c r="AB793" s="1395"/>
      <c r="AC793" s="1393"/>
      <c r="AD793" s="1394"/>
      <c r="AE793" s="1394"/>
      <c r="AF793" s="1394"/>
      <c r="AG793" s="139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6"/>
      <c r="K794" s="1397"/>
      <c r="L794" s="1397"/>
      <c r="M794" s="1397"/>
      <c r="N794" s="1398"/>
      <c r="O794" s="1552"/>
      <c r="P794" s="1552"/>
      <c r="Q794" s="1552"/>
      <c r="R794" s="1552"/>
      <c r="S794" s="1552"/>
      <c r="T794" s="1536"/>
      <c r="U794" s="1537"/>
      <c r="V794" s="1537"/>
      <c r="W794" s="1538"/>
      <c r="X794" s="1396"/>
      <c r="Y794" s="1397"/>
      <c r="Z794" s="1397"/>
      <c r="AA794" s="1397"/>
      <c r="AB794" s="1398"/>
      <c r="AC794" s="1396"/>
      <c r="AD794" s="1397"/>
      <c r="AE794" s="1397"/>
      <c r="AF794" s="1397"/>
      <c r="AG794" s="139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289"/>
      <c r="K795" s="1290"/>
      <c r="L795" s="1290"/>
      <c r="M795" s="1290"/>
      <c r="N795" s="1291"/>
      <c r="O795" s="1408"/>
      <c r="P795" s="1408"/>
      <c r="Q795" s="1408"/>
      <c r="R795" s="1408"/>
      <c r="S795" s="1408"/>
      <c r="T795" s="1539"/>
      <c r="U795" s="1540"/>
      <c r="V795" s="1540"/>
      <c r="W795" s="1541"/>
      <c r="X795" s="1305"/>
      <c r="Y795" s="1306"/>
      <c r="Z795" s="1306"/>
      <c r="AA795" s="1306"/>
      <c r="AB795" s="1307"/>
      <c r="AC795" s="1292">
        <f t="shared" ref="AC795:AC804" si="42">X795*O795</f>
        <v>0</v>
      </c>
      <c r="AD795" s="1293"/>
      <c r="AE795" s="1293"/>
      <c r="AF795" s="1293"/>
      <c r="AG795" s="129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8">
        <f t="shared" ref="CP795:CP804" si="43">IF(J795="SRO/Studio",O795,0)</f>
        <v>0</v>
      </c>
      <c r="CQ795" s="1269"/>
      <c r="CR795" s="1269"/>
      <c r="CS795" s="1269"/>
      <c r="CT795" s="1270"/>
      <c r="CU795" s="1268">
        <f t="shared" ref="CU795:CU804" si="44">IF(J795="1 Bedroom",O795,0)</f>
        <v>0</v>
      </c>
      <c r="CV795" s="1269"/>
      <c r="CW795" s="1269"/>
      <c r="CX795" s="1269"/>
      <c r="CY795" s="1270"/>
      <c r="CZ795" s="1268">
        <f t="shared" ref="CZ795:CZ804" si="45">IF(J795="2 Bedrooms",O795,0)</f>
        <v>0</v>
      </c>
      <c r="DA795" s="1269"/>
      <c r="DB795" s="1269"/>
      <c r="DC795" s="1269"/>
      <c r="DD795" s="1270"/>
      <c r="DE795" s="1268">
        <f t="shared" ref="DE795:DE804" si="46">IF(J795="3 Bedrooms",O795,0)</f>
        <v>0</v>
      </c>
      <c r="DF795" s="1269"/>
      <c r="DG795" s="1269"/>
      <c r="DH795" s="1269"/>
      <c r="DI795" s="1270"/>
      <c r="DJ795" s="1268">
        <f t="shared" ref="DJ795:DJ804" si="47">IF(J795="4 Bedrooms",O795,0)</f>
        <v>0</v>
      </c>
      <c r="DK795" s="1269"/>
      <c r="DL795" s="1269"/>
      <c r="DM795" s="1269"/>
      <c r="DN795" s="1270"/>
      <c r="DO795" s="1268">
        <f t="shared" ref="DO795:DO804" si="48">IF(J795="5 Bedrooms",O795,0)</f>
        <v>0</v>
      </c>
      <c r="DP795" s="1269"/>
      <c r="DQ795" s="1269"/>
      <c r="DR795" s="1269"/>
      <c r="DS795" s="1270"/>
      <c r="DT795" s="6"/>
      <c r="DU795" s="1268">
        <f t="shared" ref="DU795:DU804" si="49">IF(AND(CP795&gt;=1,AH795&gt;=0.1,AH795&lt;=1),O795,0)</f>
        <v>0</v>
      </c>
      <c r="DV795" s="1269"/>
      <c r="DW795" s="1269"/>
      <c r="DX795" s="1269"/>
      <c r="DY795" s="1270"/>
      <c r="DZ795" s="1268">
        <f t="shared" ref="DZ795:DZ804" si="50">IF(AND(CU795&gt;=1,AH795&gt;=0.1,AH795&lt;=1),O795,0)</f>
        <v>0</v>
      </c>
      <c r="EA795" s="1269"/>
      <c r="EB795" s="1269"/>
      <c r="EC795" s="1269"/>
      <c r="ED795" s="1270"/>
      <c r="EE795" s="1268">
        <f t="shared" ref="EE795:EE804" si="51">IF(AND(CZ795&gt;=1,AH795&gt;=0.1,AH795&lt;=1),O795,0)</f>
        <v>0</v>
      </c>
      <c r="EF795" s="1269"/>
      <c r="EG795" s="1269"/>
      <c r="EH795" s="1269"/>
      <c r="EI795" s="1270"/>
      <c r="EJ795" s="1268">
        <f t="shared" ref="EJ795:EJ804" si="52">IF(AND(DE795&gt;=1,AH795&gt;=0.1,AH795&lt;=1),O795,0)</f>
        <v>0</v>
      </c>
      <c r="EK795" s="1269"/>
      <c r="EL795" s="1269"/>
      <c r="EM795" s="1269"/>
      <c r="EN795" s="1270"/>
      <c r="EO795" s="1268">
        <f t="shared" ref="EO795:EO804" si="53">IF(AND(DJ795&gt;=1,AH795&gt;=0.1,AH795&lt;=1),O795,0)</f>
        <v>0</v>
      </c>
      <c r="EP795" s="1269"/>
      <c r="EQ795" s="1269"/>
      <c r="ER795" s="1269"/>
      <c r="ES795" s="1270"/>
      <c r="ET795" s="1268">
        <f t="shared" ref="ET795:ET804" si="54">IF(AND(DO795&gt;=1,AH795&gt;=0.1,AH795&lt;=1),O795,0)</f>
        <v>0</v>
      </c>
      <c r="EU795" s="1269"/>
      <c r="EV795" s="1269"/>
      <c r="EW795" s="1269"/>
      <c r="EX795" s="1270"/>
    </row>
    <row r="796" spans="1:154" s="14" customFormat="1" ht="12.95" customHeight="1">
      <c r="A796"/>
      <c r="B796"/>
      <c r="C796"/>
      <c r="D796"/>
      <c r="E796"/>
      <c r="F796"/>
      <c r="G796"/>
      <c r="H796"/>
      <c r="I796"/>
      <c r="J796" s="1289"/>
      <c r="K796" s="1290"/>
      <c r="L796" s="1290"/>
      <c r="M796" s="1290"/>
      <c r="N796" s="1291"/>
      <c r="O796" s="1408"/>
      <c r="P796" s="1408"/>
      <c r="Q796" s="1408"/>
      <c r="R796" s="1408"/>
      <c r="S796" s="1408"/>
      <c r="T796" s="1539"/>
      <c r="U796" s="1540"/>
      <c r="V796" s="1540"/>
      <c r="W796" s="1541"/>
      <c r="X796" s="1305"/>
      <c r="Y796" s="1306"/>
      <c r="Z796" s="1306"/>
      <c r="AA796" s="1306"/>
      <c r="AB796" s="1307"/>
      <c r="AC796" s="1292">
        <f t="shared" si="42"/>
        <v>0</v>
      </c>
      <c r="AD796" s="1293"/>
      <c r="AE796" s="1293"/>
      <c r="AF796" s="1293"/>
      <c r="AG796" s="129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8">
        <f t="shared" si="43"/>
        <v>0</v>
      </c>
      <c r="CQ796" s="1269"/>
      <c r="CR796" s="1269"/>
      <c r="CS796" s="1269"/>
      <c r="CT796" s="1270"/>
      <c r="CU796" s="1268">
        <f t="shared" si="44"/>
        <v>0</v>
      </c>
      <c r="CV796" s="1269"/>
      <c r="CW796" s="1269"/>
      <c r="CX796" s="1269"/>
      <c r="CY796" s="1270"/>
      <c r="CZ796" s="1268">
        <f t="shared" si="45"/>
        <v>0</v>
      </c>
      <c r="DA796" s="1269"/>
      <c r="DB796" s="1269"/>
      <c r="DC796" s="1269"/>
      <c r="DD796" s="1270"/>
      <c r="DE796" s="1268">
        <f t="shared" si="46"/>
        <v>0</v>
      </c>
      <c r="DF796" s="1269"/>
      <c r="DG796" s="1269"/>
      <c r="DH796" s="1269"/>
      <c r="DI796" s="1270"/>
      <c r="DJ796" s="1268">
        <f t="shared" si="47"/>
        <v>0</v>
      </c>
      <c r="DK796" s="1269"/>
      <c r="DL796" s="1269"/>
      <c r="DM796" s="1269"/>
      <c r="DN796" s="1270"/>
      <c r="DO796" s="1268">
        <f t="shared" si="48"/>
        <v>0</v>
      </c>
      <c r="DP796" s="1269"/>
      <c r="DQ796" s="1269"/>
      <c r="DR796" s="1269"/>
      <c r="DS796" s="1270"/>
      <c r="DT796" s="6"/>
      <c r="DU796" s="1268">
        <f t="shared" si="49"/>
        <v>0</v>
      </c>
      <c r="DV796" s="1269"/>
      <c r="DW796" s="1269"/>
      <c r="DX796" s="1269"/>
      <c r="DY796" s="1270"/>
      <c r="DZ796" s="1268">
        <f t="shared" si="50"/>
        <v>0</v>
      </c>
      <c r="EA796" s="1269"/>
      <c r="EB796" s="1269"/>
      <c r="EC796" s="1269"/>
      <c r="ED796" s="1270"/>
      <c r="EE796" s="1268">
        <f t="shared" si="51"/>
        <v>0</v>
      </c>
      <c r="EF796" s="1269"/>
      <c r="EG796" s="1269"/>
      <c r="EH796" s="1269"/>
      <c r="EI796" s="1270"/>
      <c r="EJ796" s="1268">
        <f t="shared" si="52"/>
        <v>0</v>
      </c>
      <c r="EK796" s="1269"/>
      <c r="EL796" s="1269"/>
      <c r="EM796" s="1269"/>
      <c r="EN796" s="1270"/>
      <c r="EO796" s="1268">
        <f t="shared" si="53"/>
        <v>0</v>
      </c>
      <c r="EP796" s="1269"/>
      <c r="EQ796" s="1269"/>
      <c r="ER796" s="1269"/>
      <c r="ES796" s="1270"/>
      <c r="ET796" s="1268">
        <f t="shared" si="54"/>
        <v>0</v>
      </c>
      <c r="EU796" s="1269"/>
      <c r="EV796" s="1269"/>
      <c r="EW796" s="1269"/>
      <c r="EX796" s="1270"/>
    </row>
    <row r="797" spans="1:154" s="14" customFormat="1" ht="12.95" customHeight="1">
      <c r="A797"/>
      <c r="B797"/>
      <c r="C797"/>
      <c r="D797"/>
      <c r="E797"/>
      <c r="F797"/>
      <c r="G797"/>
      <c r="H797"/>
      <c r="I797"/>
      <c r="J797" s="1289"/>
      <c r="K797" s="1290"/>
      <c r="L797" s="1290"/>
      <c r="M797" s="1290"/>
      <c r="N797" s="1291"/>
      <c r="O797" s="1408"/>
      <c r="P797" s="1408"/>
      <c r="Q797" s="1408"/>
      <c r="R797" s="1408"/>
      <c r="S797" s="1408"/>
      <c r="T797" s="1539"/>
      <c r="U797" s="1540"/>
      <c r="V797" s="1540"/>
      <c r="W797" s="1541"/>
      <c r="X797" s="1305"/>
      <c r="Y797" s="1306"/>
      <c r="Z797" s="1306"/>
      <c r="AA797" s="1306"/>
      <c r="AB797" s="1307"/>
      <c r="AC797" s="1292">
        <f t="shared" si="42"/>
        <v>0</v>
      </c>
      <c r="AD797" s="1293"/>
      <c r="AE797" s="1293"/>
      <c r="AF797" s="1293"/>
      <c r="AG797" s="129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8">
        <f t="shared" si="43"/>
        <v>0</v>
      </c>
      <c r="CQ797" s="1269"/>
      <c r="CR797" s="1269"/>
      <c r="CS797" s="1269"/>
      <c r="CT797" s="1270"/>
      <c r="CU797" s="1268">
        <f t="shared" si="44"/>
        <v>0</v>
      </c>
      <c r="CV797" s="1269"/>
      <c r="CW797" s="1269"/>
      <c r="CX797" s="1269"/>
      <c r="CY797" s="1270"/>
      <c r="CZ797" s="1268">
        <f t="shared" si="45"/>
        <v>0</v>
      </c>
      <c r="DA797" s="1269"/>
      <c r="DB797" s="1269"/>
      <c r="DC797" s="1269"/>
      <c r="DD797" s="1270"/>
      <c r="DE797" s="1268">
        <f t="shared" si="46"/>
        <v>0</v>
      </c>
      <c r="DF797" s="1269"/>
      <c r="DG797" s="1269"/>
      <c r="DH797" s="1269"/>
      <c r="DI797" s="1270"/>
      <c r="DJ797" s="1268">
        <f t="shared" si="47"/>
        <v>0</v>
      </c>
      <c r="DK797" s="1269"/>
      <c r="DL797" s="1269"/>
      <c r="DM797" s="1269"/>
      <c r="DN797" s="1270"/>
      <c r="DO797" s="1268">
        <f t="shared" si="48"/>
        <v>0</v>
      </c>
      <c r="DP797" s="1269"/>
      <c r="DQ797" s="1269"/>
      <c r="DR797" s="1269"/>
      <c r="DS797" s="1270"/>
      <c r="DT797" s="6"/>
      <c r="DU797" s="1268">
        <f t="shared" si="49"/>
        <v>0</v>
      </c>
      <c r="DV797" s="1269"/>
      <c r="DW797" s="1269"/>
      <c r="DX797" s="1269"/>
      <c r="DY797" s="1270"/>
      <c r="DZ797" s="1268">
        <f t="shared" si="50"/>
        <v>0</v>
      </c>
      <c r="EA797" s="1269"/>
      <c r="EB797" s="1269"/>
      <c r="EC797" s="1269"/>
      <c r="ED797" s="1270"/>
      <c r="EE797" s="1268">
        <f t="shared" si="51"/>
        <v>0</v>
      </c>
      <c r="EF797" s="1269"/>
      <c r="EG797" s="1269"/>
      <c r="EH797" s="1269"/>
      <c r="EI797" s="1270"/>
      <c r="EJ797" s="1268">
        <f t="shared" si="52"/>
        <v>0</v>
      </c>
      <c r="EK797" s="1269"/>
      <c r="EL797" s="1269"/>
      <c r="EM797" s="1269"/>
      <c r="EN797" s="1270"/>
      <c r="EO797" s="1268">
        <f t="shared" si="53"/>
        <v>0</v>
      </c>
      <c r="EP797" s="1269"/>
      <c r="EQ797" s="1269"/>
      <c r="ER797" s="1269"/>
      <c r="ES797" s="1270"/>
      <c r="ET797" s="1268">
        <f t="shared" si="54"/>
        <v>0</v>
      </c>
      <c r="EU797" s="1269"/>
      <c r="EV797" s="1269"/>
      <c r="EW797" s="1269"/>
      <c r="EX797" s="1270"/>
    </row>
    <row r="798" spans="1:154" s="14" customFormat="1" ht="12.95" customHeight="1">
      <c r="A798"/>
      <c r="B798"/>
      <c r="C798"/>
      <c r="D798"/>
      <c r="E798"/>
      <c r="F798"/>
      <c r="G798"/>
      <c r="H798"/>
      <c r="I798"/>
      <c r="J798" s="1289"/>
      <c r="K798" s="1290"/>
      <c r="L798" s="1290"/>
      <c r="M798" s="1290"/>
      <c r="N798" s="1291"/>
      <c r="O798" s="1408"/>
      <c r="P798" s="1408"/>
      <c r="Q798" s="1408"/>
      <c r="R798" s="1408"/>
      <c r="S798" s="1408"/>
      <c r="T798" s="1539"/>
      <c r="U798" s="1540"/>
      <c r="V798" s="1540"/>
      <c r="W798" s="1541"/>
      <c r="X798" s="1305"/>
      <c r="Y798" s="1306"/>
      <c r="Z798" s="1306"/>
      <c r="AA798" s="1306"/>
      <c r="AB798" s="1307"/>
      <c r="AC798" s="1292">
        <f t="shared" si="42"/>
        <v>0</v>
      </c>
      <c r="AD798" s="1293"/>
      <c r="AE798" s="1293"/>
      <c r="AF798" s="1293"/>
      <c r="AG798" s="129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8">
        <f t="shared" si="43"/>
        <v>0</v>
      </c>
      <c r="CQ798" s="1269"/>
      <c r="CR798" s="1269"/>
      <c r="CS798" s="1269"/>
      <c r="CT798" s="1270"/>
      <c r="CU798" s="1268">
        <f t="shared" si="44"/>
        <v>0</v>
      </c>
      <c r="CV798" s="1269"/>
      <c r="CW798" s="1269"/>
      <c r="CX798" s="1269"/>
      <c r="CY798" s="1270"/>
      <c r="CZ798" s="1268">
        <f t="shared" si="45"/>
        <v>0</v>
      </c>
      <c r="DA798" s="1269"/>
      <c r="DB798" s="1269"/>
      <c r="DC798" s="1269"/>
      <c r="DD798" s="1270"/>
      <c r="DE798" s="1268">
        <f t="shared" si="46"/>
        <v>0</v>
      </c>
      <c r="DF798" s="1269"/>
      <c r="DG798" s="1269"/>
      <c r="DH798" s="1269"/>
      <c r="DI798" s="1270"/>
      <c r="DJ798" s="1268">
        <f t="shared" si="47"/>
        <v>0</v>
      </c>
      <c r="DK798" s="1269"/>
      <c r="DL798" s="1269"/>
      <c r="DM798" s="1269"/>
      <c r="DN798" s="1270"/>
      <c r="DO798" s="1268">
        <f t="shared" si="48"/>
        <v>0</v>
      </c>
      <c r="DP798" s="1269"/>
      <c r="DQ798" s="1269"/>
      <c r="DR798" s="1269"/>
      <c r="DS798" s="1270"/>
      <c r="DT798" s="6"/>
      <c r="DU798" s="1268">
        <f t="shared" si="49"/>
        <v>0</v>
      </c>
      <c r="DV798" s="1269"/>
      <c r="DW798" s="1269"/>
      <c r="DX798" s="1269"/>
      <c r="DY798" s="1270"/>
      <c r="DZ798" s="1268">
        <f t="shared" si="50"/>
        <v>0</v>
      </c>
      <c r="EA798" s="1269"/>
      <c r="EB798" s="1269"/>
      <c r="EC798" s="1269"/>
      <c r="ED798" s="1270"/>
      <c r="EE798" s="1268">
        <f t="shared" si="51"/>
        <v>0</v>
      </c>
      <c r="EF798" s="1269"/>
      <c r="EG798" s="1269"/>
      <c r="EH798" s="1269"/>
      <c r="EI798" s="1270"/>
      <c r="EJ798" s="1268">
        <f t="shared" si="52"/>
        <v>0</v>
      </c>
      <c r="EK798" s="1269"/>
      <c r="EL798" s="1269"/>
      <c r="EM798" s="1269"/>
      <c r="EN798" s="1270"/>
      <c r="EO798" s="1268">
        <f t="shared" si="53"/>
        <v>0</v>
      </c>
      <c r="EP798" s="1269"/>
      <c r="EQ798" s="1269"/>
      <c r="ER798" s="1269"/>
      <c r="ES798" s="1270"/>
      <c r="ET798" s="1268">
        <f t="shared" si="54"/>
        <v>0</v>
      </c>
      <c r="EU798" s="1269"/>
      <c r="EV798" s="1269"/>
      <c r="EW798" s="1269"/>
      <c r="EX798" s="1270"/>
    </row>
    <row r="799" spans="1:154" s="14" customFormat="1" ht="12.95" customHeight="1">
      <c r="A799"/>
      <c r="B799"/>
      <c r="C799"/>
      <c r="D799"/>
      <c r="E799"/>
      <c r="F799"/>
      <c r="G799"/>
      <c r="H799"/>
      <c r="I799"/>
      <c r="J799" s="1289"/>
      <c r="K799" s="1290"/>
      <c r="L799" s="1290"/>
      <c r="M799" s="1290"/>
      <c r="N799" s="1291"/>
      <c r="O799" s="1408"/>
      <c r="P799" s="1408"/>
      <c r="Q799" s="1408"/>
      <c r="R799" s="1408"/>
      <c r="S799" s="1408"/>
      <c r="T799" s="1539"/>
      <c r="U799" s="1540"/>
      <c r="V799" s="1540"/>
      <c r="W799" s="1541"/>
      <c r="X799" s="1305"/>
      <c r="Y799" s="1306"/>
      <c r="Z799" s="1306"/>
      <c r="AA799" s="1306"/>
      <c r="AB799" s="1307"/>
      <c r="AC799" s="1292">
        <f t="shared" si="42"/>
        <v>0</v>
      </c>
      <c r="AD799" s="1293"/>
      <c r="AE799" s="1293"/>
      <c r="AF799" s="1293"/>
      <c r="AG799" s="129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8">
        <f t="shared" si="43"/>
        <v>0</v>
      </c>
      <c r="CQ799" s="1269"/>
      <c r="CR799" s="1269"/>
      <c r="CS799" s="1269"/>
      <c r="CT799" s="1270"/>
      <c r="CU799" s="1268">
        <f t="shared" si="44"/>
        <v>0</v>
      </c>
      <c r="CV799" s="1269"/>
      <c r="CW799" s="1269"/>
      <c r="CX799" s="1269"/>
      <c r="CY799" s="1270"/>
      <c r="CZ799" s="1268">
        <f t="shared" si="45"/>
        <v>0</v>
      </c>
      <c r="DA799" s="1269"/>
      <c r="DB799" s="1269"/>
      <c r="DC799" s="1269"/>
      <c r="DD799" s="1270"/>
      <c r="DE799" s="1268">
        <f t="shared" si="46"/>
        <v>0</v>
      </c>
      <c r="DF799" s="1269"/>
      <c r="DG799" s="1269"/>
      <c r="DH799" s="1269"/>
      <c r="DI799" s="1270"/>
      <c r="DJ799" s="1268">
        <f t="shared" si="47"/>
        <v>0</v>
      </c>
      <c r="DK799" s="1269"/>
      <c r="DL799" s="1269"/>
      <c r="DM799" s="1269"/>
      <c r="DN799" s="1270"/>
      <c r="DO799" s="1268">
        <f t="shared" si="48"/>
        <v>0</v>
      </c>
      <c r="DP799" s="1269"/>
      <c r="DQ799" s="1269"/>
      <c r="DR799" s="1269"/>
      <c r="DS799" s="1270"/>
      <c r="DT799" s="6"/>
      <c r="DU799" s="1268">
        <f t="shared" si="49"/>
        <v>0</v>
      </c>
      <c r="DV799" s="1269"/>
      <c r="DW799" s="1269"/>
      <c r="DX799" s="1269"/>
      <c r="DY799" s="1270"/>
      <c r="DZ799" s="1268">
        <f t="shared" si="50"/>
        <v>0</v>
      </c>
      <c r="EA799" s="1269"/>
      <c r="EB799" s="1269"/>
      <c r="EC799" s="1269"/>
      <c r="ED799" s="1270"/>
      <c r="EE799" s="1268">
        <f t="shared" si="51"/>
        <v>0</v>
      </c>
      <c r="EF799" s="1269"/>
      <c r="EG799" s="1269"/>
      <c r="EH799" s="1269"/>
      <c r="EI799" s="1270"/>
      <c r="EJ799" s="1268">
        <f t="shared" si="52"/>
        <v>0</v>
      </c>
      <c r="EK799" s="1269"/>
      <c r="EL799" s="1269"/>
      <c r="EM799" s="1269"/>
      <c r="EN799" s="1270"/>
      <c r="EO799" s="1268">
        <f t="shared" si="53"/>
        <v>0</v>
      </c>
      <c r="EP799" s="1269"/>
      <c r="EQ799" s="1269"/>
      <c r="ER799" s="1269"/>
      <c r="ES799" s="1270"/>
      <c r="ET799" s="1268">
        <f t="shared" si="54"/>
        <v>0</v>
      </c>
      <c r="EU799" s="1269"/>
      <c r="EV799" s="1269"/>
      <c r="EW799" s="1269"/>
      <c r="EX799" s="1270"/>
    </row>
    <row r="800" spans="1:154" s="14" customFormat="1" ht="12.95" customHeight="1">
      <c r="A800"/>
      <c r="B800"/>
      <c r="C800"/>
      <c r="D800"/>
      <c r="E800"/>
      <c r="F800"/>
      <c r="G800"/>
      <c r="H800"/>
      <c r="I800"/>
      <c r="J800" s="1289"/>
      <c r="K800" s="1290"/>
      <c r="L800" s="1290"/>
      <c r="M800" s="1290"/>
      <c r="N800" s="1291"/>
      <c r="O800" s="1408"/>
      <c r="P800" s="1408"/>
      <c r="Q800" s="1408"/>
      <c r="R800" s="1408"/>
      <c r="S800" s="1408"/>
      <c r="T800" s="1539"/>
      <c r="U800" s="1540"/>
      <c r="V800" s="1540"/>
      <c r="W800" s="1541"/>
      <c r="X800" s="1305"/>
      <c r="Y800" s="1306"/>
      <c r="Z800" s="1306"/>
      <c r="AA800" s="1306"/>
      <c r="AB800" s="1307"/>
      <c r="AC800" s="1292">
        <f t="shared" si="42"/>
        <v>0</v>
      </c>
      <c r="AD800" s="1293"/>
      <c r="AE800" s="1293"/>
      <c r="AF800" s="1293"/>
      <c r="AG800" s="129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8">
        <f t="shared" si="43"/>
        <v>0</v>
      </c>
      <c r="CQ800" s="1269"/>
      <c r="CR800" s="1269"/>
      <c r="CS800" s="1269"/>
      <c r="CT800" s="1270"/>
      <c r="CU800" s="1268">
        <f t="shared" si="44"/>
        <v>0</v>
      </c>
      <c r="CV800" s="1269"/>
      <c r="CW800" s="1269"/>
      <c r="CX800" s="1269"/>
      <c r="CY800" s="1270"/>
      <c r="CZ800" s="1268">
        <f t="shared" si="45"/>
        <v>0</v>
      </c>
      <c r="DA800" s="1269"/>
      <c r="DB800" s="1269"/>
      <c r="DC800" s="1269"/>
      <c r="DD800" s="1270"/>
      <c r="DE800" s="1268">
        <f t="shared" si="46"/>
        <v>0</v>
      </c>
      <c r="DF800" s="1269"/>
      <c r="DG800" s="1269"/>
      <c r="DH800" s="1269"/>
      <c r="DI800" s="1270"/>
      <c r="DJ800" s="1268">
        <f t="shared" si="47"/>
        <v>0</v>
      </c>
      <c r="DK800" s="1269"/>
      <c r="DL800" s="1269"/>
      <c r="DM800" s="1269"/>
      <c r="DN800" s="1270"/>
      <c r="DO800" s="1268">
        <f t="shared" si="48"/>
        <v>0</v>
      </c>
      <c r="DP800" s="1269"/>
      <c r="DQ800" s="1269"/>
      <c r="DR800" s="1269"/>
      <c r="DS800" s="1270"/>
      <c r="DT800" s="6"/>
      <c r="DU800" s="1268">
        <f t="shared" si="49"/>
        <v>0</v>
      </c>
      <c r="DV800" s="1269"/>
      <c r="DW800" s="1269"/>
      <c r="DX800" s="1269"/>
      <c r="DY800" s="1270"/>
      <c r="DZ800" s="1268">
        <f t="shared" si="50"/>
        <v>0</v>
      </c>
      <c r="EA800" s="1269"/>
      <c r="EB800" s="1269"/>
      <c r="EC800" s="1269"/>
      <c r="ED800" s="1270"/>
      <c r="EE800" s="1268">
        <f t="shared" si="51"/>
        <v>0</v>
      </c>
      <c r="EF800" s="1269"/>
      <c r="EG800" s="1269"/>
      <c r="EH800" s="1269"/>
      <c r="EI800" s="1270"/>
      <c r="EJ800" s="1268">
        <f t="shared" si="52"/>
        <v>0</v>
      </c>
      <c r="EK800" s="1269"/>
      <c r="EL800" s="1269"/>
      <c r="EM800" s="1269"/>
      <c r="EN800" s="1270"/>
      <c r="EO800" s="1268">
        <f t="shared" si="53"/>
        <v>0</v>
      </c>
      <c r="EP800" s="1269"/>
      <c r="EQ800" s="1269"/>
      <c r="ER800" s="1269"/>
      <c r="ES800" s="1270"/>
      <c r="ET800" s="1268">
        <f t="shared" si="54"/>
        <v>0</v>
      </c>
      <c r="EU800" s="1269"/>
      <c r="EV800" s="1269"/>
      <c r="EW800" s="1269"/>
      <c r="EX800" s="1270"/>
    </row>
    <row r="801" spans="1:154" s="14" customFormat="1" ht="12.95" customHeight="1">
      <c r="A801"/>
      <c r="B801"/>
      <c r="C801"/>
      <c r="D801"/>
      <c r="E801"/>
      <c r="F801"/>
      <c r="G801"/>
      <c r="H801"/>
      <c r="I801"/>
      <c r="J801" s="1289"/>
      <c r="K801" s="1290"/>
      <c r="L801" s="1290"/>
      <c r="M801" s="1290"/>
      <c r="N801" s="1291"/>
      <c r="O801" s="1408"/>
      <c r="P801" s="1408"/>
      <c r="Q801" s="1408"/>
      <c r="R801" s="1408"/>
      <c r="S801" s="1408"/>
      <c r="T801" s="1539"/>
      <c r="U801" s="1540"/>
      <c r="V801" s="1540"/>
      <c r="W801" s="1541"/>
      <c r="X801" s="1305"/>
      <c r="Y801" s="1306"/>
      <c r="Z801" s="1306"/>
      <c r="AA801" s="1306"/>
      <c r="AB801" s="1307"/>
      <c r="AC801" s="1292">
        <f t="shared" si="42"/>
        <v>0</v>
      </c>
      <c r="AD801" s="1293"/>
      <c r="AE801" s="1293"/>
      <c r="AF801" s="1293"/>
      <c r="AG801" s="129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8">
        <f t="shared" si="43"/>
        <v>0</v>
      </c>
      <c r="CQ801" s="1269"/>
      <c r="CR801" s="1269"/>
      <c r="CS801" s="1269"/>
      <c r="CT801" s="1270"/>
      <c r="CU801" s="1268">
        <f t="shared" si="44"/>
        <v>0</v>
      </c>
      <c r="CV801" s="1269"/>
      <c r="CW801" s="1269"/>
      <c r="CX801" s="1269"/>
      <c r="CY801" s="1270"/>
      <c r="CZ801" s="1268">
        <f t="shared" si="45"/>
        <v>0</v>
      </c>
      <c r="DA801" s="1269"/>
      <c r="DB801" s="1269"/>
      <c r="DC801" s="1269"/>
      <c r="DD801" s="1270"/>
      <c r="DE801" s="1268">
        <f t="shared" si="46"/>
        <v>0</v>
      </c>
      <c r="DF801" s="1269"/>
      <c r="DG801" s="1269"/>
      <c r="DH801" s="1269"/>
      <c r="DI801" s="1270"/>
      <c r="DJ801" s="1268">
        <f t="shared" si="47"/>
        <v>0</v>
      </c>
      <c r="DK801" s="1269"/>
      <c r="DL801" s="1269"/>
      <c r="DM801" s="1269"/>
      <c r="DN801" s="1270"/>
      <c r="DO801" s="1268">
        <f t="shared" si="48"/>
        <v>0</v>
      </c>
      <c r="DP801" s="1269"/>
      <c r="DQ801" s="1269"/>
      <c r="DR801" s="1269"/>
      <c r="DS801" s="1270"/>
      <c r="DT801" s="6"/>
      <c r="DU801" s="1268">
        <f t="shared" si="49"/>
        <v>0</v>
      </c>
      <c r="DV801" s="1269"/>
      <c r="DW801" s="1269"/>
      <c r="DX801" s="1269"/>
      <c r="DY801" s="1270"/>
      <c r="DZ801" s="1268">
        <f t="shared" si="50"/>
        <v>0</v>
      </c>
      <c r="EA801" s="1269"/>
      <c r="EB801" s="1269"/>
      <c r="EC801" s="1269"/>
      <c r="ED801" s="1270"/>
      <c r="EE801" s="1268">
        <f t="shared" si="51"/>
        <v>0</v>
      </c>
      <c r="EF801" s="1269"/>
      <c r="EG801" s="1269"/>
      <c r="EH801" s="1269"/>
      <c r="EI801" s="1270"/>
      <c r="EJ801" s="1268">
        <f t="shared" si="52"/>
        <v>0</v>
      </c>
      <c r="EK801" s="1269"/>
      <c r="EL801" s="1269"/>
      <c r="EM801" s="1269"/>
      <c r="EN801" s="1270"/>
      <c r="EO801" s="1268">
        <f t="shared" si="53"/>
        <v>0</v>
      </c>
      <c r="EP801" s="1269"/>
      <c r="EQ801" s="1269"/>
      <c r="ER801" s="1269"/>
      <c r="ES801" s="1270"/>
      <c r="ET801" s="1268">
        <f t="shared" si="54"/>
        <v>0</v>
      </c>
      <c r="EU801" s="1269"/>
      <c r="EV801" s="1269"/>
      <c r="EW801" s="1269"/>
      <c r="EX801" s="1270"/>
    </row>
    <row r="802" spans="1:154" s="14" customFormat="1" ht="12.95" customHeight="1">
      <c r="A802"/>
      <c r="B802"/>
      <c r="C802"/>
      <c r="D802"/>
      <c r="E802"/>
      <c r="F802"/>
      <c r="G802"/>
      <c r="H802"/>
      <c r="I802"/>
      <c r="J802" s="1289"/>
      <c r="K802" s="1290"/>
      <c r="L802" s="1290"/>
      <c r="M802" s="1290"/>
      <c r="N802" s="1291"/>
      <c r="O802" s="1408"/>
      <c r="P802" s="1408"/>
      <c r="Q802" s="1408"/>
      <c r="R802" s="1408"/>
      <c r="S802" s="1408"/>
      <c r="T802" s="1539"/>
      <c r="U802" s="1540"/>
      <c r="V802" s="1540"/>
      <c r="W802" s="1541"/>
      <c r="X802" s="1305"/>
      <c r="Y802" s="1306"/>
      <c r="Z802" s="1306"/>
      <c r="AA802" s="1306"/>
      <c r="AB802" s="1307"/>
      <c r="AC802" s="1292">
        <f t="shared" si="42"/>
        <v>0</v>
      </c>
      <c r="AD802" s="1293"/>
      <c r="AE802" s="1293"/>
      <c r="AF802" s="1293"/>
      <c r="AG802" s="129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8">
        <f t="shared" si="43"/>
        <v>0</v>
      </c>
      <c r="CQ802" s="1269"/>
      <c r="CR802" s="1269"/>
      <c r="CS802" s="1269"/>
      <c r="CT802" s="1270"/>
      <c r="CU802" s="1268">
        <f t="shared" si="44"/>
        <v>0</v>
      </c>
      <c r="CV802" s="1269"/>
      <c r="CW802" s="1269"/>
      <c r="CX802" s="1269"/>
      <c r="CY802" s="1270"/>
      <c r="CZ802" s="1268">
        <f t="shared" si="45"/>
        <v>0</v>
      </c>
      <c r="DA802" s="1269"/>
      <c r="DB802" s="1269"/>
      <c r="DC802" s="1269"/>
      <c r="DD802" s="1270"/>
      <c r="DE802" s="1268">
        <f t="shared" si="46"/>
        <v>0</v>
      </c>
      <c r="DF802" s="1269"/>
      <c r="DG802" s="1269"/>
      <c r="DH802" s="1269"/>
      <c r="DI802" s="1270"/>
      <c r="DJ802" s="1268">
        <f t="shared" si="47"/>
        <v>0</v>
      </c>
      <c r="DK802" s="1269"/>
      <c r="DL802" s="1269"/>
      <c r="DM802" s="1269"/>
      <c r="DN802" s="1270"/>
      <c r="DO802" s="1268">
        <f t="shared" si="48"/>
        <v>0</v>
      </c>
      <c r="DP802" s="1269"/>
      <c r="DQ802" s="1269"/>
      <c r="DR802" s="1269"/>
      <c r="DS802" s="1270"/>
      <c r="DT802" s="6"/>
      <c r="DU802" s="1268">
        <f t="shared" si="49"/>
        <v>0</v>
      </c>
      <c r="DV802" s="1269"/>
      <c r="DW802" s="1269"/>
      <c r="DX802" s="1269"/>
      <c r="DY802" s="1270"/>
      <c r="DZ802" s="1268">
        <f t="shared" si="50"/>
        <v>0</v>
      </c>
      <c r="EA802" s="1269"/>
      <c r="EB802" s="1269"/>
      <c r="EC802" s="1269"/>
      <c r="ED802" s="1270"/>
      <c r="EE802" s="1268">
        <f t="shared" si="51"/>
        <v>0</v>
      </c>
      <c r="EF802" s="1269"/>
      <c r="EG802" s="1269"/>
      <c r="EH802" s="1269"/>
      <c r="EI802" s="1270"/>
      <c r="EJ802" s="1268">
        <f t="shared" si="52"/>
        <v>0</v>
      </c>
      <c r="EK802" s="1269"/>
      <c r="EL802" s="1269"/>
      <c r="EM802" s="1269"/>
      <c r="EN802" s="1270"/>
      <c r="EO802" s="1268">
        <f t="shared" si="53"/>
        <v>0</v>
      </c>
      <c r="EP802" s="1269"/>
      <c r="EQ802" s="1269"/>
      <c r="ER802" s="1269"/>
      <c r="ES802" s="1270"/>
      <c r="ET802" s="1268">
        <f t="shared" si="54"/>
        <v>0</v>
      </c>
      <c r="EU802" s="1269"/>
      <c r="EV802" s="1269"/>
      <c r="EW802" s="1269"/>
      <c r="EX802" s="1270"/>
    </row>
    <row r="803" spans="1:154" s="14" customFormat="1" ht="12.95" customHeight="1">
      <c r="A803"/>
      <c r="B803"/>
      <c r="C803"/>
      <c r="D803"/>
      <c r="E803"/>
      <c r="F803"/>
      <c r="G803"/>
      <c r="H803"/>
      <c r="I803"/>
      <c r="J803" s="1289"/>
      <c r="K803" s="1290"/>
      <c r="L803" s="1290"/>
      <c r="M803" s="1290"/>
      <c r="N803" s="1291"/>
      <c r="O803" s="1408"/>
      <c r="P803" s="1408"/>
      <c r="Q803" s="1408"/>
      <c r="R803" s="1408"/>
      <c r="S803" s="1408"/>
      <c r="T803" s="1539"/>
      <c r="U803" s="1540"/>
      <c r="V803" s="1540"/>
      <c r="W803" s="1541"/>
      <c r="X803" s="1305"/>
      <c r="Y803" s="1306"/>
      <c r="Z803" s="1306"/>
      <c r="AA803" s="1306"/>
      <c r="AB803" s="1307"/>
      <c r="AC803" s="1292">
        <f t="shared" si="42"/>
        <v>0</v>
      </c>
      <c r="AD803" s="1293"/>
      <c r="AE803" s="1293"/>
      <c r="AF803" s="1293"/>
      <c r="AG803" s="129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8">
        <f t="shared" si="43"/>
        <v>0</v>
      </c>
      <c r="CQ803" s="1269"/>
      <c r="CR803" s="1269"/>
      <c r="CS803" s="1269"/>
      <c r="CT803" s="1270"/>
      <c r="CU803" s="1268">
        <f t="shared" si="44"/>
        <v>0</v>
      </c>
      <c r="CV803" s="1269"/>
      <c r="CW803" s="1269"/>
      <c r="CX803" s="1269"/>
      <c r="CY803" s="1270"/>
      <c r="CZ803" s="1268">
        <f t="shared" si="45"/>
        <v>0</v>
      </c>
      <c r="DA803" s="1269"/>
      <c r="DB803" s="1269"/>
      <c r="DC803" s="1269"/>
      <c r="DD803" s="1270"/>
      <c r="DE803" s="1268">
        <f t="shared" si="46"/>
        <v>0</v>
      </c>
      <c r="DF803" s="1269"/>
      <c r="DG803" s="1269"/>
      <c r="DH803" s="1269"/>
      <c r="DI803" s="1270"/>
      <c r="DJ803" s="1268">
        <f t="shared" si="47"/>
        <v>0</v>
      </c>
      <c r="DK803" s="1269"/>
      <c r="DL803" s="1269"/>
      <c r="DM803" s="1269"/>
      <c r="DN803" s="1270"/>
      <c r="DO803" s="1268">
        <f t="shared" si="48"/>
        <v>0</v>
      </c>
      <c r="DP803" s="1269"/>
      <c r="DQ803" s="1269"/>
      <c r="DR803" s="1269"/>
      <c r="DS803" s="1270"/>
      <c r="DT803" s="6"/>
      <c r="DU803" s="1268">
        <f t="shared" si="49"/>
        <v>0</v>
      </c>
      <c r="DV803" s="1269"/>
      <c r="DW803" s="1269"/>
      <c r="DX803" s="1269"/>
      <c r="DY803" s="1270"/>
      <c r="DZ803" s="1268">
        <f t="shared" si="50"/>
        <v>0</v>
      </c>
      <c r="EA803" s="1269"/>
      <c r="EB803" s="1269"/>
      <c r="EC803" s="1269"/>
      <c r="ED803" s="1270"/>
      <c r="EE803" s="1268">
        <f t="shared" si="51"/>
        <v>0</v>
      </c>
      <c r="EF803" s="1269"/>
      <c r="EG803" s="1269"/>
      <c r="EH803" s="1269"/>
      <c r="EI803" s="1270"/>
      <c r="EJ803" s="1268">
        <f t="shared" si="52"/>
        <v>0</v>
      </c>
      <c r="EK803" s="1269"/>
      <c r="EL803" s="1269"/>
      <c r="EM803" s="1269"/>
      <c r="EN803" s="1270"/>
      <c r="EO803" s="1268">
        <f t="shared" si="53"/>
        <v>0</v>
      </c>
      <c r="EP803" s="1269"/>
      <c r="EQ803" s="1269"/>
      <c r="ER803" s="1269"/>
      <c r="ES803" s="1270"/>
      <c r="ET803" s="1268">
        <f t="shared" si="54"/>
        <v>0</v>
      </c>
      <c r="EU803" s="1269"/>
      <c r="EV803" s="1269"/>
      <c r="EW803" s="1269"/>
      <c r="EX803" s="1270"/>
    </row>
    <row r="804" spans="1:154" s="4" customFormat="1" ht="12.95" customHeight="1">
      <c r="A804"/>
      <c r="B804"/>
      <c r="C804"/>
      <c r="D804"/>
      <c r="E804"/>
      <c r="F804"/>
      <c r="G804"/>
      <c r="H804"/>
      <c r="I804"/>
      <c r="J804" s="1289"/>
      <c r="K804" s="1290"/>
      <c r="L804" s="1290"/>
      <c r="M804" s="1290"/>
      <c r="N804" s="1291"/>
      <c r="O804" s="1408"/>
      <c r="P804" s="1408"/>
      <c r="Q804" s="1408"/>
      <c r="R804" s="1408"/>
      <c r="S804" s="1408"/>
      <c r="T804" s="1539"/>
      <c r="U804" s="1540"/>
      <c r="V804" s="1540"/>
      <c r="W804" s="1541"/>
      <c r="X804" s="1305"/>
      <c r="Y804" s="1306"/>
      <c r="Z804" s="1306"/>
      <c r="AA804" s="1306"/>
      <c r="AB804" s="1307"/>
      <c r="AC804" s="1292">
        <f t="shared" si="42"/>
        <v>0</v>
      </c>
      <c r="AD804" s="1293"/>
      <c r="AE804" s="1293"/>
      <c r="AF804" s="1293"/>
      <c r="AG804" s="1294"/>
      <c r="AH804"/>
      <c r="AI804"/>
      <c r="AJ804"/>
      <c r="AK804"/>
      <c r="AL804"/>
      <c r="AM804"/>
      <c r="AN804"/>
      <c r="AO804"/>
      <c r="AP804"/>
      <c r="AQ804"/>
      <c r="AR804"/>
      <c r="AS804"/>
      <c r="AT804"/>
      <c r="AU804"/>
      <c r="AV804"/>
      <c r="AW804"/>
      <c r="AX804"/>
      <c r="AY804"/>
      <c r="AZ804" s="3"/>
      <c r="CP804" s="1268">
        <f t="shared" si="43"/>
        <v>0</v>
      </c>
      <c r="CQ804" s="1269"/>
      <c r="CR804" s="1269"/>
      <c r="CS804" s="1269"/>
      <c r="CT804" s="1270"/>
      <c r="CU804" s="1268">
        <f t="shared" si="44"/>
        <v>0</v>
      </c>
      <c r="CV804" s="1269"/>
      <c r="CW804" s="1269"/>
      <c r="CX804" s="1269"/>
      <c r="CY804" s="1270"/>
      <c r="CZ804" s="1268">
        <f t="shared" si="45"/>
        <v>0</v>
      </c>
      <c r="DA804" s="1269"/>
      <c r="DB804" s="1269"/>
      <c r="DC804" s="1269"/>
      <c r="DD804" s="1270"/>
      <c r="DE804" s="1268">
        <f t="shared" si="46"/>
        <v>0</v>
      </c>
      <c r="DF804" s="1269"/>
      <c r="DG804" s="1269"/>
      <c r="DH804" s="1269"/>
      <c r="DI804" s="1270"/>
      <c r="DJ804" s="1268">
        <f t="shared" si="47"/>
        <v>0</v>
      </c>
      <c r="DK804" s="1269"/>
      <c r="DL804" s="1269"/>
      <c r="DM804" s="1269"/>
      <c r="DN804" s="1270"/>
      <c r="DO804" s="1268">
        <f t="shared" si="48"/>
        <v>0</v>
      </c>
      <c r="DP804" s="1269"/>
      <c r="DQ804" s="1269"/>
      <c r="DR804" s="1269"/>
      <c r="DS804" s="1270"/>
      <c r="DT804" s="6"/>
      <c r="DU804" s="1268">
        <f t="shared" si="49"/>
        <v>0</v>
      </c>
      <c r="DV804" s="1269"/>
      <c r="DW804" s="1269"/>
      <c r="DX804" s="1269"/>
      <c r="DY804" s="1270"/>
      <c r="DZ804" s="1268">
        <f t="shared" si="50"/>
        <v>0</v>
      </c>
      <c r="EA804" s="1269"/>
      <c r="EB804" s="1269"/>
      <c r="EC804" s="1269"/>
      <c r="ED804" s="1270"/>
      <c r="EE804" s="1268">
        <f t="shared" si="51"/>
        <v>0</v>
      </c>
      <c r="EF804" s="1269"/>
      <c r="EG804" s="1269"/>
      <c r="EH804" s="1269"/>
      <c r="EI804" s="1270"/>
      <c r="EJ804" s="1268">
        <f t="shared" si="52"/>
        <v>0</v>
      </c>
      <c r="EK804" s="1269"/>
      <c r="EL804" s="1269"/>
      <c r="EM804" s="1269"/>
      <c r="EN804" s="1270"/>
      <c r="EO804" s="1268">
        <f t="shared" si="53"/>
        <v>0</v>
      </c>
      <c r="EP804" s="1269"/>
      <c r="EQ804" s="1269"/>
      <c r="ER804" s="1269"/>
      <c r="ES804" s="1270"/>
      <c r="ET804" s="1268">
        <f t="shared" si="54"/>
        <v>0</v>
      </c>
      <c r="EU804" s="1269"/>
      <c r="EV804" s="1269"/>
      <c r="EW804" s="1269"/>
      <c r="EX804" s="1270"/>
    </row>
    <row r="805" spans="1:154" s="4" customFormat="1" ht="12.95" customHeight="1">
      <c r="A805"/>
      <c r="B805"/>
      <c r="C805"/>
      <c r="D805"/>
      <c r="E805"/>
      <c r="F805"/>
      <c r="G805"/>
      <c r="H805"/>
      <c r="I805"/>
      <c r="J805" s="1520" t="s">
        <v>125</v>
      </c>
      <c r="K805" s="1521"/>
      <c r="L805" s="1521"/>
      <c r="M805" s="1521"/>
      <c r="N805" s="1523"/>
      <c r="O805" s="1548">
        <f>SUM(O795:S804)</f>
        <v>0</v>
      </c>
      <c r="P805" s="1548"/>
      <c r="Q805" s="1548"/>
      <c r="R805" s="1548"/>
      <c r="S805" s="1548"/>
      <c r="T805"/>
      <c r="U805"/>
      <c r="V805"/>
      <c r="W805"/>
      <c r="X805" s="898" t="s">
        <v>124</v>
      </c>
      <c r="Y805" s="11"/>
      <c r="Z805" s="11"/>
      <c r="AA805" s="11"/>
      <c r="AB805" s="905"/>
      <c r="AC805" s="1292">
        <f>SUM(AC795:AG804)</f>
        <v>0</v>
      </c>
      <c r="AD805" s="1293"/>
      <c r="AE805" s="1293"/>
      <c r="AF805" s="1293"/>
      <c r="AG805" s="1294"/>
      <c r="AH805"/>
      <c r="AI805"/>
      <c r="AJ805"/>
      <c r="AK805"/>
      <c r="AL805"/>
      <c r="AM805"/>
      <c r="AN805"/>
      <c r="AO805"/>
      <c r="AP805"/>
      <c r="AQ805"/>
      <c r="AR805"/>
      <c r="AS805"/>
      <c r="AT805"/>
      <c r="AU805"/>
      <c r="AV805"/>
      <c r="AW805"/>
      <c r="AX805"/>
      <c r="AY805"/>
      <c r="AZ805" s="3"/>
      <c r="BA805"/>
      <c r="CP805" s="1274">
        <f>SUM(CP795:CT804)</f>
        <v>0</v>
      </c>
      <c r="CQ805" s="1275"/>
      <c r="CR805" s="1275"/>
      <c r="CS805" s="1275"/>
      <c r="CT805" s="1276"/>
      <c r="CU805" s="1271">
        <f>SUM(CU795:CY804)</f>
        <v>0</v>
      </c>
      <c r="CV805" s="1272"/>
      <c r="CW805" s="1272"/>
      <c r="CX805" s="1272"/>
      <c r="CY805" s="1273"/>
      <c r="CZ805" s="1271">
        <f>SUM(CZ795:DD804)</f>
        <v>0</v>
      </c>
      <c r="DA805" s="1272"/>
      <c r="DB805" s="1272"/>
      <c r="DC805" s="1272"/>
      <c r="DD805" s="1273"/>
      <c r="DE805" s="1271">
        <f>SUM(DE795:DI804)</f>
        <v>0</v>
      </c>
      <c r="DF805" s="1272"/>
      <c r="DG805" s="1272"/>
      <c r="DH805" s="1272"/>
      <c r="DI805" s="1273"/>
      <c r="DJ805" s="1271">
        <f>SUM(DJ795:DN804)</f>
        <v>0</v>
      </c>
      <c r="DK805" s="1272"/>
      <c r="DL805" s="1272"/>
      <c r="DM805" s="1272"/>
      <c r="DN805" s="1273"/>
      <c r="DO805" s="1271">
        <f>SUM(DO795:DS804)</f>
        <v>0</v>
      </c>
      <c r="DP805" s="1272"/>
      <c r="DQ805" s="1272"/>
      <c r="DR805" s="1272"/>
      <c r="DS805" s="1273"/>
      <c r="DT805" s="1007"/>
      <c r="DU805" s="1274">
        <f>SUM(DU795:DY804)</f>
        <v>0</v>
      </c>
      <c r="DV805" s="1275"/>
      <c r="DW805" s="1275"/>
      <c r="DX805" s="1275"/>
      <c r="DY805" s="1276"/>
      <c r="DZ805" s="1274">
        <f>SUM(DZ795:ED804)</f>
        <v>0</v>
      </c>
      <c r="EA805" s="1275"/>
      <c r="EB805" s="1275"/>
      <c r="EC805" s="1275"/>
      <c r="ED805" s="1276"/>
      <c r="EE805" s="1274">
        <f>SUM(EE795:EI804)</f>
        <v>0</v>
      </c>
      <c r="EF805" s="1275"/>
      <c r="EG805" s="1275"/>
      <c r="EH805" s="1275"/>
      <c r="EI805" s="1276"/>
      <c r="EJ805" s="1274">
        <f>SUM(EJ795:EN804)</f>
        <v>0</v>
      </c>
      <c r="EK805" s="1275"/>
      <c r="EL805" s="1275"/>
      <c r="EM805" s="1275"/>
      <c r="EN805" s="1276"/>
      <c r="EO805" s="1274">
        <f>SUM(EO795:ES804)</f>
        <v>0</v>
      </c>
      <c r="EP805" s="1275"/>
      <c r="EQ805" s="1275"/>
      <c r="ER805" s="1275"/>
      <c r="ES805" s="1276"/>
      <c r="ET805" s="1274">
        <f>SUM(ET795:EX804)</f>
        <v>0</v>
      </c>
      <c r="EU805" s="1275"/>
      <c r="EV805" s="1275"/>
      <c r="EW805" s="1275"/>
      <c r="EX805" s="1276"/>
    </row>
    <row r="806" spans="1:154" s="4" customFormat="1" ht="12.95" customHeight="1">
      <c r="A806"/>
      <c r="B806"/>
      <c r="C806" s="1562" t="str">
        <f>IF(O805&lt;&gt;AG447,"! Total market rate units in the Unit Mix Table above does not match the number of  market rate units on row #"&amp;TEXT(ROW(D447),"#"),"")</f>
        <v/>
      </c>
      <c r="D806" s="1562"/>
      <c r="E806" s="1562"/>
      <c r="F806" s="1562"/>
      <c r="G806" s="1562"/>
      <c r="H806" s="1562"/>
      <c r="I806" s="1562"/>
      <c r="J806" s="1562"/>
      <c r="K806" s="1562"/>
      <c r="L806" s="1562"/>
      <c r="M806" s="1562"/>
      <c r="N806" s="1562"/>
      <c r="O806" s="1562"/>
      <c r="P806" s="1562"/>
      <c r="Q806" s="1562"/>
      <c r="R806" s="1562"/>
      <c r="S806" s="1562"/>
      <c r="T806" s="1562"/>
      <c r="U806" s="1562"/>
      <c r="V806" s="1562"/>
      <c r="W806" s="1562"/>
      <c r="X806" s="1562"/>
      <c r="Y806" s="1562"/>
      <c r="Z806" s="1562"/>
      <c r="AA806" s="1562"/>
      <c r="AB806" s="1562"/>
      <c r="AC806" s="1562"/>
      <c r="AD806" s="1562"/>
      <c r="AE806" s="1562"/>
      <c r="AF806" s="1562"/>
      <c r="AG806" s="1562"/>
      <c r="AH806" s="1562"/>
      <c r="AI806" s="1562"/>
      <c r="AJ806" s="1562"/>
      <c r="AK806" s="1562"/>
      <c r="AL806" s="1562"/>
      <c r="AM806" s="1562"/>
      <c r="AN806" s="156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62"/>
      <c r="D807" s="1562"/>
      <c r="E807" s="1562"/>
      <c r="F807" s="1562"/>
      <c r="G807" s="1562"/>
      <c r="H807" s="1562"/>
      <c r="I807" s="1562"/>
      <c r="J807" s="1562"/>
      <c r="K807" s="1562"/>
      <c r="L807" s="1562"/>
      <c r="M807" s="1562"/>
      <c r="N807" s="1562"/>
      <c r="O807" s="1562"/>
      <c r="P807" s="1562"/>
      <c r="Q807" s="1562"/>
      <c r="R807" s="1562"/>
      <c r="S807" s="1562"/>
      <c r="T807" s="1562"/>
      <c r="U807" s="1562"/>
      <c r="V807" s="1562"/>
      <c r="W807" s="1562"/>
      <c r="X807" s="1562"/>
      <c r="Y807" s="1562"/>
      <c r="Z807" s="1562"/>
      <c r="AA807" s="1562"/>
      <c r="AB807" s="1562"/>
      <c r="AC807" s="1562"/>
      <c r="AD807" s="1562"/>
      <c r="AE807" s="1562"/>
      <c r="AF807" s="1562"/>
      <c r="AG807" s="1562"/>
      <c r="AH807" s="1562"/>
      <c r="AI807" s="1562"/>
      <c r="AJ807" s="1562"/>
      <c r="AK807" s="1562"/>
      <c r="AL807" s="1562"/>
      <c r="AM807" s="1562"/>
      <c r="AN807" s="156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282">
        <f>SUM(DU805:EX805)</f>
        <v>0</v>
      </c>
      <c r="EU807" s="1283"/>
      <c r="EV807" s="1283"/>
      <c r="EW807" s="1283"/>
      <c r="EX807" s="128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76">
        <f>O761+AC785+AC805</f>
        <v>295550.59999999998</v>
      </c>
      <c r="Z808" s="1576"/>
      <c r="AA808" s="1576"/>
      <c r="AB808" s="1576"/>
      <c r="AC808" s="157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76">
        <f>(O761+AC785+AC805)*12</f>
        <v>3546607.1999999997</v>
      </c>
      <c r="Z809" s="1576"/>
      <c r="AA809" s="1576"/>
      <c r="AB809" s="1576"/>
      <c r="AC809" s="157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1">
        <f>CP761+CP785+CP805</f>
        <v>0</v>
      </c>
      <c r="CQ810" s="1272"/>
      <c r="CR810" s="1272"/>
      <c r="CS810" s="1272"/>
      <c r="CT810" s="1273"/>
      <c r="CU810" s="1271">
        <f>CU761+CU785+CU805</f>
        <v>61</v>
      </c>
      <c r="CV810" s="1272"/>
      <c r="CW810" s="1272"/>
      <c r="CX810" s="1272"/>
      <c r="CY810" s="1273"/>
      <c r="CZ810" s="1271">
        <f>CZ761+CZ785+CZ805</f>
        <v>49</v>
      </c>
      <c r="DA810" s="1272"/>
      <c r="DB810" s="1272"/>
      <c r="DC810" s="1272"/>
      <c r="DD810" s="1273"/>
      <c r="DE810" s="1271">
        <f>DE761+DE785+DE805</f>
        <v>44</v>
      </c>
      <c r="DF810" s="1272"/>
      <c r="DG810" s="1272"/>
      <c r="DH810" s="1272"/>
      <c r="DI810" s="1273"/>
      <c r="DJ810" s="1271">
        <f>DJ761+DJ785+DJ805</f>
        <v>0</v>
      </c>
      <c r="DK810" s="1272"/>
      <c r="DL810" s="1272"/>
      <c r="DM810" s="1272"/>
      <c r="DN810" s="1273"/>
      <c r="DO810" s="1285">
        <f>DO805+DO785+DO761</f>
        <v>0</v>
      </c>
      <c r="DP810" s="1286"/>
      <c r="DQ810" s="1286"/>
      <c r="DR810" s="1286"/>
      <c r="DS810" s="1287"/>
      <c r="DT810" s="3"/>
      <c r="DU810" s="857">
        <f>DU763+DU808</f>
        <v>289</v>
      </c>
      <c r="DV810" s="57" t="s">
        <v>1835</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49"/>
      <c r="AA814" s="1550"/>
      <c r="AB814" s="1550"/>
      <c r="AC814" s="1550"/>
      <c r="AD814" s="1550"/>
      <c r="AE814" s="155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53"/>
      <c r="AA815" s="1550"/>
      <c r="AB815" s="1550"/>
      <c r="AC815" s="1550"/>
      <c r="AD815" s="1550"/>
      <c r="AE815" s="155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46"/>
      <c r="AA816" s="1447"/>
      <c r="AB816" s="1447"/>
      <c r="AC816" s="1447"/>
      <c r="AD816" s="1447"/>
      <c r="AE816" s="154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365">
        <f>'Subsidy Contract Calculation'!J40</f>
        <v>0</v>
      </c>
      <c r="AA817" s="1366"/>
      <c r="AB817" s="1366"/>
      <c r="AC817" s="1366"/>
      <c r="AD817" s="1366"/>
      <c r="AE817" s="136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68">
        <v>47775</v>
      </c>
      <c r="AA821" s="1369"/>
      <c r="AB821" s="1369"/>
      <c r="AC821" s="1369"/>
      <c r="AD821" s="1369"/>
      <c r="AE821" s="137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68"/>
      <c r="AA822" s="1369"/>
      <c r="AB822" s="1369"/>
      <c r="AC822" s="1369"/>
      <c r="AD822" s="1369"/>
      <c r="AE822" s="137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68"/>
      <c r="AA823" s="1369"/>
      <c r="AB823" s="1369"/>
      <c r="AC823" s="1369"/>
      <c r="AD823" s="1369"/>
      <c r="AE823" s="137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7" t="s">
        <v>2769</v>
      </c>
      <c r="Q824" s="1558"/>
      <c r="R824" s="1558"/>
      <c r="S824" s="1558"/>
      <c r="T824" s="1558"/>
      <c r="U824" s="1558"/>
      <c r="V824" s="1558"/>
      <c r="W824" s="1558"/>
      <c r="X824" s="1558"/>
      <c r="Y824" s="1559"/>
      <c r="Z824" s="1368">
        <v>91800</v>
      </c>
      <c r="AA824" s="1369"/>
      <c r="AB824" s="1369"/>
      <c r="AC824" s="1369"/>
      <c r="AD824" s="1369"/>
      <c r="AE824" s="137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365">
        <f>SUM(Z821:AE824)</f>
        <v>139575</v>
      </c>
      <c r="AA825" s="1366"/>
      <c r="AB825" s="1366"/>
      <c r="AC825" s="1366"/>
      <c r="AD825" s="1366"/>
      <c r="AE825" s="136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365">
        <f>Z825+Y809+Z817</f>
        <v>3686182.1999999997</v>
      </c>
      <c r="AA826" s="1366"/>
      <c r="AB826" s="1366"/>
      <c r="AC826" s="1366"/>
      <c r="AD826" s="1366"/>
      <c r="AE826" s="136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22" t="s">
        <v>126</v>
      </c>
      <c r="N831" s="1622"/>
      <c r="O831" s="1622"/>
      <c r="P831" s="1623"/>
      <c r="Q831" s="1545" t="s">
        <v>290</v>
      </c>
      <c r="R831" s="1545"/>
      <c r="S831" s="1545"/>
      <c r="T831" s="1545"/>
      <c r="U831" s="1545" t="s">
        <v>291</v>
      </c>
      <c r="V831" s="1545"/>
      <c r="W831" s="1545"/>
      <c r="X831" s="1545"/>
      <c r="Y831" s="1545" t="s">
        <v>292</v>
      </c>
      <c r="Z831" s="1545"/>
      <c r="AA831" s="1545"/>
      <c r="AB831" s="1545"/>
      <c r="AC831" s="1545" t="s">
        <v>361</v>
      </c>
      <c r="AD831" s="1545"/>
      <c r="AE831" s="1545"/>
      <c r="AF831" s="1545"/>
      <c r="AG831" s="1543" t="s">
        <v>335</v>
      </c>
      <c r="AH831" s="1543"/>
      <c r="AI831" s="1543"/>
      <c r="AJ831" s="154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24"/>
      <c r="N832" s="1624"/>
      <c r="O832" s="1624"/>
      <c r="P832" s="1625"/>
      <c r="Q832" s="1545"/>
      <c r="R832" s="1545"/>
      <c r="S832" s="1545"/>
      <c r="T832" s="1545"/>
      <c r="U832" s="1545"/>
      <c r="V832" s="1545"/>
      <c r="W832" s="1545"/>
      <c r="X832" s="1545"/>
      <c r="Y832" s="1545"/>
      <c r="Z832" s="1545"/>
      <c r="AA832" s="1545"/>
      <c r="AB832" s="1545"/>
      <c r="AC832" s="1545"/>
      <c r="AD832" s="1545"/>
      <c r="AE832" s="1545"/>
      <c r="AF832" s="1545"/>
      <c r="AG832" s="1543"/>
      <c r="AH832" s="1543"/>
      <c r="AI832" s="1543"/>
      <c r="AJ832" s="154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64" t="s">
        <v>40</v>
      </c>
      <c r="D833" s="1389"/>
      <c r="E833" s="1389"/>
      <c r="F833" s="1389"/>
      <c r="G833" s="1389"/>
      <c r="H833" s="1389"/>
      <c r="I833" s="48"/>
      <c r="J833" s="48"/>
      <c r="K833" s="48"/>
      <c r="L833" s="49"/>
      <c r="M833" s="1544"/>
      <c r="N833" s="1544"/>
      <c r="O833" s="1544"/>
      <c r="P833" s="1544"/>
      <c r="Q833" s="1544">
        <v>14</v>
      </c>
      <c r="R833" s="1544"/>
      <c r="S833" s="1544"/>
      <c r="T833" s="1544"/>
      <c r="U833" s="1544">
        <v>17</v>
      </c>
      <c r="V833" s="1544"/>
      <c r="W833" s="1544"/>
      <c r="X833" s="1544"/>
      <c r="Y833" s="1544">
        <v>19</v>
      </c>
      <c r="Z833" s="1544"/>
      <c r="AA833" s="1544"/>
      <c r="AB833" s="1544"/>
      <c r="AC833" s="1404"/>
      <c r="AD833" s="1405"/>
      <c r="AE833" s="1405"/>
      <c r="AF833" s="1406"/>
      <c r="AG833" s="1404"/>
      <c r="AH833" s="1405"/>
      <c r="AI833" s="1405"/>
      <c r="AJ833" s="140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14" t="s">
        <v>41</v>
      </c>
      <c r="D834" s="1410"/>
      <c r="E834" s="1410"/>
      <c r="F834" s="1410"/>
      <c r="G834" s="1410"/>
      <c r="H834" s="1410"/>
      <c r="I834" s="5"/>
      <c r="J834" s="5"/>
      <c r="K834" s="5"/>
      <c r="L834" s="46"/>
      <c r="M834" s="1544"/>
      <c r="N834" s="1544"/>
      <c r="O834" s="1544"/>
      <c r="P834" s="1544"/>
      <c r="Q834" s="1544"/>
      <c r="R834" s="1544"/>
      <c r="S834" s="1544"/>
      <c r="T834" s="1544"/>
      <c r="U834" s="1544"/>
      <c r="V834" s="1544"/>
      <c r="W834" s="1544"/>
      <c r="X834" s="1544"/>
      <c r="Y834" s="1544"/>
      <c r="Z834" s="1544"/>
      <c r="AA834" s="1544"/>
      <c r="AB834" s="1544"/>
      <c r="AC834" s="1404"/>
      <c r="AD834" s="1405"/>
      <c r="AE834" s="1405"/>
      <c r="AF834" s="1406"/>
      <c r="AG834" s="1404"/>
      <c r="AH834" s="1405"/>
      <c r="AI834" s="1405"/>
      <c r="AJ834" s="140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14" t="s">
        <v>42</v>
      </c>
      <c r="D835" s="1410"/>
      <c r="E835" s="1410"/>
      <c r="F835" s="1410"/>
      <c r="G835" s="1410"/>
      <c r="H835" s="1410"/>
      <c r="I835" s="60"/>
      <c r="J835" s="60"/>
      <c r="K835" s="60"/>
      <c r="L835" s="61"/>
      <c r="M835" s="1544"/>
      <c r="N835" s="1544"/>
      <c r="O835" s="1544"/>
      <c r="P835" s="1544"/>
      <c r="Q835" s="1544">
        <v>9</v>
      </c>
      <c r="R835" s="1544"/>
      <c r="S835" s="1544"/>
      <c r="T835" s="1544"/>
      <c r="U835" s="1544">
        <v>14</v>
      </c>
      <c r="V835" s="1544"/>
      <c r="W835" s="1544"/>
      <c r="X835" s="1544"/>
      <c r="Y835" s="1544">
        <v>18</v>
      </c>
      <c r="Z835" s="1544"/>
      <c r="AA835" s="1544"/>
      <c r="AB835" s="1544"/>
      <c r="AC835" s="1404"/>
      <c r="AD835" s="1405"/>
      <c r="AE835" s="1405"/>
      <c r="AF835" s="1406"/>
      <c r="AG835" s="1404"/>
      <c r="AH835" s="1405"/>
      <c r="AI835" s="1405"/>
      <c r="AJ835" s="140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14" t="s">
        <v>761</v>
      </c>
      <c r="D836" s="1410"/>
      <c r="E836" s="1410"/>
      <c r="F836" s="1410"/>
      <c r="G836" s="1410"/>
      <c r="H836" s="1410"/>
      <c r="I836" s="60"/>
      <c r="J836" s="60"/>
      <c r="K836" s="60"/>
      <c r="L836" s="61"/>
      <c r="M836" s="1544"/>
      <c r="N836" s="1544"/>
      <c r="O836" s="1544"/>
      <c r="P836" s="1544"/>
      <c r="Q836" s="1544"/>
      <c r="R836" s="1544"/>
      <c r="S836" s="1544"/>
      <c r="T836" s="1544"/>
      <c r="U836" s="1544"/>
      <c r="V836" s="1544"/>
      <c r="W836" s="1544"/>
      <c r="X836" s="1544"/>
      <c r="Y836" s="1544"/>
      <c r="Z836" s="1544"/>
      <c r="AA836" s="1544"/>
      <c r="AB836" s="1544"/>
      <c r="AC836" s="1404"/>
      <c r="AD836" s="1405"/>
      <c r="AE836" s="1405"/>
      <c r="AF836" s="1406"/>
      <c r="AG836" s="1404"/>
      <c r="AH836" s="1405"/>
      <c r="AI836" s="1405"/>
      <c r="AJ836" s="140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14" t="s">
        <v>458</v>
      </c>
      <c r="D837" s="1410"/>
      <c r="E837" s="1410"/>
      <c r="F837" s="1410"/>
      <c r="G837" s="1410"/>
      <c r="H837" s="1410"/>
      <c r="I837" s="60"/>
      <c r="J837" s="60"/>
      <c r="K837" s="60"/>
      <c r="L837" s="61"/>
      <c r="M837" s="1544"/>
      <c r="N837" s="1544"/>
      <c r="O837" s="1544"/>
      <c r="P837" s="1544"/>
      <c r="Q837" s="1544">
        <v>36</v>
      </c>
      <c r="R837" s="1544"/>
      <c r="S837" s="1544"/>
      <c r="T837" s="1544"/>
      <c r="U837" s="1544">
        <v>50</v>
      </c>
      <c r="V837" s="1544"/>
      <c r="W837" s="1544"/>
      <c r="X837" s="1544"/>
      <c r="Y837" s="1544">
        <v>64</v>
      </c>
      <c r="Z837" s="1544"/>
      <c r="AA837" s="1544"/>
      <c r="AB837" s="1544"/>
      <c r="AC837" s="1404"/>
      <c r="AD837" s="1405"/>
      <c r="AE837" s="1405"/>
      <c r="AF837" s="1406"/>
      <c r="AG837" s="1404"/>
      <c r="AH837" s="1405"/>
      <c r="AI837" s="1405"/>
      <c r="AJ837" s="140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20" t="s">
        <v>782</v>
      </c>
      <c r="D838" s="1410"/>
      <c r="E838" s="1410"/>
      <c r="F838" s="1410"/>
      <c r="G838" s="1410"/>
      <c r="H838" s="1410"/>
      <c r="I838" s="60"/>
      <c r="J838" s="60"/>
      <c r="K838" s="60"/>
      <c r="L838" s="61"/>
      <c r="M838" s="1544"/>
      <c r="N838" s="1544"/>
      <c r="O838" s="1544"/>
      <c r="P838" s="1544"/>
      <c r="Q838" s="1544"/>
      <c r="R838" s="1544"/>
      <c r="S838" s="1544"/>
      <c r="T838" s="1544"/>
      <c r="U838" s="1544"/>
      <c r="V838" s="1544"/>
      <c r="W838" s="1544"/>
      <c r="X838" s="1544"/>
      <c r="Y838" s="1544"/>
      <c r="Z838" s="1544"/>
      <c r="AA838" s="1544"/>
      <c r="AB838" s="1544"/>
      <c r="AC838" s="1404"/>
      <c r="AD838" s="1405"/>
      <c r="AE838" s="1405"/>
      <c r="AF838" s="1406"/>
      <c r="AG838" s="1404"/>
      <c r="AH838" s="1405"/>
      <c r="AI838" s="1405"/>
      <c r="AJ838" s="140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7" t="s">
        <v>2770</v>
      </c>
      <c r="G839" s="1558"/>
      <c r="H839" s="1558"/>
      <c r="I839" s="1558"/>
      <c r="J839" s="1558"/>
      <c r="K839" s="1558"/>
      <c r="L839" s="1558"/>
      <c r="M839" s="1544"/>
      <c r="N839" s="1544"/>
      <c r="O839" s="1544"/>
      <c r="P839" s="1544"/>
      <c r="Q839" s="1544">
        <v>17</v>
      </c>
      <c r="R839" s="1544"/>
      <c r="S839" s="1544"/>
      <c r="T839" s="1544"/>
      <c r="U839" s="1544">
        <v>23</v>
      </c>
      <c r="V839" s="1544"/>
      <c r="W839" s="1544"/>
      <c r="X839" s="1544"/>
      <c r="Y839" s="1544">
        <v>30</v>
      </c>
      <c r="Z839" s="1544"/>
      <c r="AA839" s="1544"/>
      <c r="AB839" s="1544"/>
      <c r="AC839" s="1404"/>
      <c r="AD839" s="1405"/>
      <c r="AE839" s="1405"/>
      <c r="AF839" s="1406"/>
      <c r="AG839" s="1404"/>
      <c r="AH839" s="1405"/>
      <c r="AI839" s="1405"/>
      <c r="AJ839" s="140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0" t="s">
        <v>124</v>
      </c>
      <c r="D840" s="1521"/>
      <c r="E840" s="1521"/>
      <c r="F840" s="1521"/>
      <c r="G840" s="1521"/>
      <c r="H840" s="1521"/>
      <c r="I840" s="1521"/>
      <c r="J840" s="1521"/>
      <c r="K840" s="1521"/>
      <c r="L840" s="1523"/>
      <c r="M840" s="1613">
        <f>SUM(M833:P839)</f>
        <v>0</v>
      </c>
      <c r="N840" s="1613"/>
      <c r="O840" s="1613"/>
      <c r="P840" s="1613"/>
      <c r="Q840" s="1613">
        <f>SUM(Q833:T839)</f>
        <v>76</v>
      </c>
      <c r="R840" s="1613"/>
      <c r="S840" s="1613"/>
      <c r="T840" s="1613"/>
      <c r="U840" s="1613">
        <f>SUM(U833:X839)</f>
        <v>104</v>
      </c>
      <c r="V840" s="1613"/>
      <c r="W840" s="1613"/>
      <c r="X840" s="1613"/>
      <c r="Y840" s="1613">
        <f>SUM(Y833:AB839)</f>
        <v>131</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6" t="s">
        <v>2771</v>
      </c>
      <c r="D845" s="1587"/>
      <c r="E845" s="1587"/>
      <c r="F845" s="1587"/>
      <c r="G845" s="1587"/>
      <c r="H845" s="1587"/>
      <c r="I845" s="1587"/>
      <c r="J845" s="1587"/>
      <c r="K845" s="1587"/>
      <c r="L845" s="1587"/>
      <c r="M845" s="1587"/>
      <c r="N845" s="1587"/>
      <c r="O845" s="1587"/>
      <c r="P845" s="1587"/>
      <c r="Q845" s="1587"/>
      <c r="R845" s="1587"/>
      <c r="S845" s="1587"/>
      <c r="T845" s="1587"/>
      <c r="U845" s="1587"/>
      <c r="V845" s="1587"/>
      <c r="W845" s="1587"/>
      <c r="X845" s="1587"/>
      <c r="Y845" s="1587"/>
      <c r="Z845" s="1587"/>
      <c r="AA845" s="1587"/>
      <c r="AB845" s="1587"/>
      <c r="AC845" s="1587"/>
      <c r="AD845" s="1587"/>
      <c r="AE845" s="1587"/>
      <c r="AF845" s="1587"/>
      <c r="AG845" s="1587"/>
      <c r="AH845" s="1587"/>
      <c r="AI845" s="1587"/>
      <c r="AJ845" s="158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6"/>
      <c r="BJ849" s="1596"/>
      <c r="BK849" s="1596"/>
      <c r="BL849" s="1596"/>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63">
        <v>8000</v>
      </c>
      <c r="X850" s="1563"/>
      <c r="Y850" s="1563"/>
      <c r="Z850" s="1563"/>
      <c r="AA850" s="1563"/>
      <c r="AB850" s="1563"/>
      <c r="AC850" s="156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63">
        <v>10000</v>
      </c>
      <c r="X851" s="1563"/>
      <c r="Y851" s="1563"/>
      <c r="Z851" s="1563"/>
      <c r="AA851" s="1563"/>
      <c r="AB851" s="1563"/>
      <c r="AC851" s="156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63">
        <v>12000</v>
      </c>
      <c r="X852" s="1563"/>
      <c r="Y852" s="1563"/>
      <c r="Z852" s="1563"/>
      <c r="AA852" s="1563"/>
      <c r="AB852" s="1563"/>
      <c r="AC852" s="156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63">
        <v>24000</v>
      </c>
      <c r="X853" s="1563"/>
      <c r="Y853" s="1563"/>
      <c r="Z853" s="1563"/>
      <c r="AA853" s="1563"/>
      <c r="AB853" s="1563"/>
      <c r="AC853" s="1563"/>
      <c r="AZ853" s="30"/>
      <c r="BA853" s="30"/>
      <c r="BB853" s="14"/>
      <c r="BC853" s="14"/>
      <c r="BD853" s="14"/>
      <c r="BE853" s="14"/>
      <c r="BF853" s="14"/>
      <c r="BG853" s="14"/>
      <c r="BH853" s="14"/>
      <c r="BI853" s="14"/>
      <c r="BJ853" s="14"/>
      <c r="BK853" s="14"/>
      <c r="BL853" s="14"/>
    </row>
    <row r="854" spans="1:64" ht="12.95" customHeight="1">
      <c r="J854" s="45" t="s">
        <v>170</v>
      </c>
      <c r="K854" s="5"/>
      <c r="L854" s="5"/>
      <c r="M854" s="1557" t="s">
        <v>2774</v>
      </c>
      <c r="N854" s="1558"/>
      <c r="O854" s="1558"/>
      <c r="P854" s="1558"/>
      <c r="Q854" s="1558"/>
      <c r="R854" s="1558"/>
      <c r="S854" s="1558"/>
      <c r="T854" s="1558"/>
      <c r="U854" s="1558"/>
      <c r="V854" s="1559"/>
      <c r="W854" s="1563">
        <v>50800</v>
      </c>
      <c r="X854" s="1563"/>
      <c r="Y854" s="1563"/>
      <c r="Z854" s="1563"/>
      <c r="AA854" s="1563"/>
      <c r="AB854" s="1563"/>
      <c r="AC854" s="156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365">
        <f>SUM(W850:W854)</f>
        <v>104800</v>
      </c>
      <c r="X855" s="1366"/>
      <c r="Y855" s="1366"/>
      <c r="Z855" s="1366"/>
      <c r="AA855" s="1366"/>
      <c r="AB855" s="1366"/>
      <c r="AC855" s="136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94"/>
      <c r="BH856" s="1594"/>
      <c r="BI856" s="1594"/>
      <c r="BJ856" s="1594"/>
      <c r="BK856" s="1594"/>
      <c r="BL856" s="1594"/>
    </row>
    <row r="857" spans="1:64" ht="12.95" customHeight="1">
      <c r="C857" s="2" t="s">
        <v>344</v>
      </c>
      <c r="J857" s="1520" t="s">
        <v>345</v>
      </c>
      <c r="K857" s="1521"/>
      <c r="L857" s="1521"/>
      <c r="M857" s="1521"/>
      <c r="N857" s="1521"/>
      <c r="O857" s="1521"/>
      <c r="P857" s="1521"/>
      <c r="Q857" s="1521"/>
      <c r="R857" s="1521"/>
      <c r="S857" s="1521"/>
      <c r="T857" s="1521"/>
      <c r="U857" s="1521"/>
      <c r="V857" s="1523"/>
      <c r="W857" s="1368">
        <v>154258.71239999996</v>
      </c>
      <c r="X857" s="1369"/>
      <c r="Y857" s="1369"/>
      <c r="Z857" s="1369"/>
      <c r="AA857" s="1369"/>
      <c r="AB857" s="1369"/>
      <c r="AC857" s="1370"/>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560"/>
      <c r="X859" s="1560"/>
      <c r="Y859" s="1560"/>
      <c r="Z859" s="1560"/>
      <c r="AA859" s="1560"/>
      <c r="AB859" s="1560"/>
      <c r="AC859" s="1560"/>
      <c r="AZ859" s="1565"/>
      <c r="BA859" s="1565"/>
      <c r="BB859" s="14"/>
      <c r="BC859" s="14"/>
    </row>
    <row r="860" spans="1:64" ht="12.95" customHeight="1">
      <c r="J860" s="45" t="s">
        <v>351</v>
      </c>
      <c r="K860" s="5"/>
      <c r="L860" s="5"/>
      <c r="M860" s="5"/>
      <c r="N860" s="5"/>
      <c r="O860" s="5"/>
      <c r="P860" s="5"/>
      <c r="Q860" s="5"/>
      <c r="R860" s="5"/>
      <c r="S860" s="5"/>
      <c r="T860" s="5"/>
      <c r="U860" s="5"/>
      <c r="V860" s="46"/>
      <c r="W860" s="1560"/>
      <c r="X860" s="1560"/>
      <c r="Y860" s="1560"/>
      <c r="Z860" s="1560"/>
      <c r="AA860" s="1560"/>
      <c r="AB860" s="1560"/>
      <c r="AC860" s="1560"/>
      <c r="AZ860" s="30"/>
      <c r="BA860" s="30"/>
      <c r="BB860" s="14"/>
      <c r="BC860" s="14"/>
    </row>
    <row r="861" spans="1:64" ht="12.95" customHeight="1">
      <c r="J861" s="45" t="s">
        <v>458</v>
      </c>
      <c r="K861" s="5"/>
      <c r="L861" s="5"/>
      <c r="M861" s="5"/>
      <c r="N861" s="5"/>
      <c r="O861" s="5"/>
      <c r="P861" s="5"/>
      <c r="Q861" s="5"/>
      <c r="R861" s="5"/>
      <c r="S861" s="5"/>
      <c r="T861" s="5"/>
      <c r="U861" s="5"/>
      <c r="V861" s="46"/>
      <c r="W861" s="1560">
        <v>60907</v>
      </c>
      <c r="X861" s="1560"/>
      <c r="Y861" s="1560"/>
      <c r="Z861" s="1560"/>
      <c r="AA861" s="1560"/>
      <c r="AB861" s="1560"/>
      <c r="AC861" s="1560"/>
      <c r="AZ861" s="30"/>
      <c r="BA861" s="30"/>
      <c r="BB861" s="14"/>
      <c r="BC861" s="14"/>
    </row>
    <row r="862" spans="1:64" ht="12.95" customHeight="1">
      <c r="J862" s="62" t="s">
        <v>619</v>
      </c>
      <c r="K862" s="5"/>
      <c r="L862" s="5"/>
      <c r="M862" s="5"/>
      <c r="N862" s="5"/>
      <c r="O862" s="5"/>
      <c r="P862" s="5"/>
      <c r="Q862" s="5"/>
      <c r="R862" s="5"/>
      <c r="S862" s="5"/>
      <c r="T862" s="5"/>
      <c r="U862" s="5"/>
      <c r="V862" s="46"/>
      <c r="W862" s="1560">
        <v>134081.67569999918</v>
      </c>
      <c r="X862" s="1560"/>
      <c r="Y862" s="1560"/>
      <c r="Z862" s="1560"/>
      <c r="AA862" s="1560"/>
      <c r="AB862" s="1560"/>
      <c r="AC862" s="1560"/>
      <c r="AZ862" s="34"/>
      <c r="BA862" s="34"/>
      <c r="BB862" s="34"/>
      <c r="BC862" s="34"/>
    </row>
    <row r="863" spans="1:64" ht="12.95" customHeight="1">
      <c r="J863" s="63"/>
      <c r="K863" s="48"/>
      <c r="L863" s="48"/>
      <c r="M863" s="48"/>
      <c r="N863" s="48"/>
      <c r="O863" s="48"/>
      <c r="P863" s="48"/>
      <c r="Q863" s="48"/>
      <c r="R863" s="48"/>
      <c r="S863" s="48"/>
      <c r="T863" s="48"/>
      <c r="U863" s="48"/>
      <c r="V863" s="54" t="s">
        <v>272</v>
      </c>
      <c r="W863" s="1561">
        <f>SUM(W859:W862)</f>
        <v>194988.67569999918</v>
      </c>
      <c r="X863" s="1561"/>
      <c r="Y863" s="1561"/>
      <c r="Z863" s="1561"/>
      <c r="AA863" s="1561"/>
      <c r="AB863" s="1561"/>
      <c r="AC863" s="1561"/>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554">
        <v>140000</v>
      </c>
      <c r="X865" s="1555"/>
      <c r="Y865" s="1555"/>
      <c r="Z865" s="1555"/>
      <c r="AA865" s="1555"/>
      <c r="AB865" s="1555"/>
      <c r="AC865" s="1556"/>
      <c r="AD865" s="528"/>
      <c r="AZ865" s="34"/>
      <c r="BA865" s="34"/>
      <c r="BB865" s="34"/>
      <c r="BC865" s="34"/>
    </row>
    <row r="866" spans="3:55" ht="12.95" customHeight="1">
      <c r="C866" s="2" t="s">
        <v>347</v>
      </c>
      <c r="J866" s="121" t="s">
        <v>1642</v>
      </c>
      <c r="K866" s="5"/>
      <c r="L866" s="5"/>
      <c r="M866" s="5"/>
      <c r="N866" s="5"/>
      <c r="O866" s="5"/>
      <c r="P866" s="5"/>
      <c r="Q866" s="5"/>
      <c r="R866" s="5"/>
      <c r="S866" s="5"/>
      <c r="T866" s="1580">
        <v>2</v>
      </c>
      <c r="U866" s="1581"/>
      <c r="V866" s="1582"/>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554">
        <v>130000</v>
      </c>
      <c r="X867" s="1555"/>
      <c r="Y867" s="1555"/>
      <c r="Z867" s="1555"/>
      <c r="AA867" s="1555"/>
      <c r="AB867" s="1555"/>
      <c r="AC867" s="1556"/>
      <c r="AD867" s="533"/>
      <c r="AZ867" s="34"/>
      <c r="BA867" s="34"/>
      <c r="BB867" s="34"/>
      <c r="BC867" s="34"/>
    </row>
    <row r="868" spans="3:55" ht="12.95" customHeight="1">
      <c r="C868" s="2"/>
      <c r="J868" s="121" t="s">
        <v>1643</v>
      </c>
      <c r="K868" s="5"/>
      <c r="L868" s="5"/>
      <c r="M868" s="5"/>
      <c r="N868" s="5"/>
      <c r="O868" s="5"/>
      <c r="P868" s="5"/>
      <c r="Q868" s="5"/>
      <c r="R868" s="5"/>
      <c r="S868" s="5"/>
      <c r="T868" s="1580">
        <v>1</v>
      </c>
      <c r="U868" s="1581"/>
      <c r="V868" s="1582"/>
      <c r="W868" s="870"/>
      <c r="X868" s="871"/>
      <c r="Y868" s="871"/>
      <c r="Z868" s="871"/>
      <c r="AA868" s="871"/>
      <c r="AB868" s="871"/>
      <c r="AC868" s="872"/>
      <c r="AD868" s="533"/>
      <c r="AZ868" s="34"/>
      <c r="BA868" s="34"/>
      <c r="BB868" s="34"/>
      <c r="BC868" s="34"/>
    </row>
    <row r="869" spans="3:55" ht="12.95" customHeight="1">
      <c r="J869" s="45" t="s">
        <v>170</v>
      </c>
      <c r="K869" s="5"/>
      <c r="L869" s="5"/>
      <c r="M869" s="1557" t="s">
        <v>2772</v>
      </c>
      <c r="N869" s="1558"/>
      <c r="O869" s="1558"/>
      <c r="P869" s="1558"/>
      <c r="Q869" s="1558"/>
      <c r="R869" s="1558"/>
      <c r="S869" s="1558"/>
      <c r="T869" s="1558"/>
      <c r="U869" s="1558"/>
      <c r="V869" s="1559"/>
      <c r="W869" s="1554">
        <v>108000</v>
      </c>
      <c r="X869" s="1555"/>
      <c r="Y869" s="1555"/>
      <c r="Z869" s="1555"/>
      <c r="AA869" s="1555"/>
      <c r="AB869" s="1555"/>
      <c r="AC869" s="1556"/>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83">
        <f>SUM(W865:W869)</f>
        <v>378000</v>
      </c>
      <c r="X870" s="1584"/>
      <c r="Y870" s="1584"/>
      <c r="Z870" s="1584"/>
      <c r="AA870" s="1584"/>
      <c r="AB870" s="1584"/>
      <c r="AC870" s="158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54">
        <v>154000</v>
      </c>
      <c r="X872" s="1555"/>
      <c r="Y872" s="1555"/>
      <c r="Z872" s="1555"/>
      <c r="AA872" s="1555"/>
      <c r="AB872" s="1555"/>
      <c r="AC872" s="1556"/>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563">
        <v>53900</v>
      </c>
      <c r="X874" s="1563"/>
      <c r="Y874" s="1563"/>
      <c r="Z874" s="1563"/>
      <c r="AA874" s="1563"/>
      <c r="AB874" s="1563"/>
      <c r="AC874" s="1563"/>
      <c r="AU874" s="14"/>
      <c r="AZ874" s="34"/>
      <c r="BA874" s="34"/>
      <c r="BB874" s="34"/>
      <c r="BC874" s="34"/>
    </row>
    <row r="875" spans="3:55" ht="12.95" customHeight="1">
      <c r="J875" s="45" t="s">
        <v>521</v>
      </c>
      <c r="K875" s="5"/>
      <c r="L875" s="5"/>
      <c r="M875" s="5"/>
      <c r="N875" s="5"/>
      <c r="O875" s="5"/>
      <c r="P875" s="5"/>
      <c r="Q875" s="5"/>
      <c r="R875" s="5"/>
      <c r="S875" s="5"/>
      <c r="T875" s="5"/>
      <c r="U875" s="5"/>
      <c r="V875" s="46"/>
      <c r="W875" s="1563">
        <v>53900</v>
      </c>
      <c r="X875" s="1563"/>
      <c r="Y875" s="1563"/>
      <c r="Z875" s="1563"/>
      <c r="AA875" s="1563"/>
      <c r="AB875" s="1563"/>
      <c r="AC875" s="1563"/>
      <c r="AU875" s="4"/>
      <c r="AZ875" s="34"/>
      <c r="BA875" s="34"/>
      <c r="BB875" s="34"/>
      <c r="BC875" s="34"/>
    </row>
    <row r="876" spans="3:55" ht="12.95" customHeight="1">
      <c r="J876" s="45" t="s">
        <v>520</v>
      </c>
      <c r="K876" s="5"/>
      <c r="L876" s="5"/>
      <c r="M876" s="5"/>
      <c r="N876" s="5"/>
      <c r="O876" s="5"/>
      <c r="P876" s="5"/>
      <c r="Q876" s="5"/>
      <c r="R876" s="5"/>
      <c r="S876" s="5"/>
      <c r="T876" s="5"/>
      <c r="U876" s="5"/>
      <c r="V876" s="46"/>
      <c r="W876" s="1563">
        <v>55440</v>
      </c>
      <c r="X876" s="1563"/>
      <c r="Y876" s="1563"/>
      <c r="Z876" s="1563"/>
      <c r="AA876" s="1563"/>
      <c r="AB876" s="1563"/>
      <c r="AC876" s="1563"/>
      <c r="AU876" s="4"/>
      <c r="AZ876" s="34"/>
      <c r="BA876" s="34"/>
      <c r="BB876" s="34"/>
      <c r="BC876" s="34"/>
    </row>
    <row r="877" spans="3:55" ht="12.95" customHeight="1">
      <c r="J877" s="45" t="s">
        <v>519</v>
      </c>
      <c r="K877" s="5"/>
      <c r="L877" s="5"/>
      <c r="M877" s="5"/>
      <c r="N877" s="5"/>
      <c r="O877" s="5"/>
      <c r="P877" s="5"/>
      <c r="Q877" s="5"/>
      <c r="R877" s="5"/>
      <c r="S877" s="5"/>
      <c r="T877" s="5"/>
      <c r="U877" s="5"/>
      <c r="V877" s="46"/>
      <c r="W877" s="1563">
        <v>6500</v>
      </c>
      <c r="X877" s="1563"/>
      <c r="Y877" s="1563"/>
      <c r="Z877" s="1563"/>
      <c r="AA877" s="1563"/>
      <c r="AB877" s="1563"/>
      <c r="AC877" s="1563"/>
      <c r="AU877" s="4"/>
      <c r="AZ877" s="34"/>
      <c r="BA877" s="34"/>
      <c r="BB877" s="34"/>
      <c r="BC877" s="34"/>
    </row>
    <row r="878" spans="3:55" ht="12.95" customHeight="1">
      <c r="J878" s="45" t="s">
        <v>518</v>
      </c>
      <c r="K878" s="5"/>
      <c r="L878" s="5"/>
      <c r="M878" s="5"/>
      <c r="N878" s="5"/>
      <c r="O878" s="5"/>
      <c r="P878" s="5"/>
      <c r="Q878" s="5"/>
      <c r="R878" s="5"/>
      <c r="S878" s="5"/>
      <c r="T878" s="5"/>
      <c r="U878" s="5"/>
      <c r="V878" s="46"/>
      <c r="W878" s="1563">
        <v>24000</v>
      </c>
      <c r="X878" s="1563"/>
      <c r="Y878" s="1563"/>
      <c r="Z878" s="1563"/>
      <c r="AA878" s="1563"/>
      <c r="AB878" s="1563"/>
      <c r="AC878" s="1563"/>
      <c r="AU878" s="4"/>
      <c r="AZ878" s="34"/>
      <c r="BA878" s="34"/>
      <c r="BB878" s="34"/>
      <c r="BC878" s="34"/>
    </row>
    <row r="879" spans="3:55" ht="12.95" customHeight="1">
      <c r="J879" s="45" t="s">
        <v>517</v>
      </c>
      <c r="K879" s="5"/>
      <c r="L879" s="5"/>
      <c r="M879" s="5"/>
      <c r="N879" s="5"/>
      <c r="O879" s="5"/>
      <c r="P879" s="5"/>
      <c r="Q879" s="5"/>
      <c r="R879" s="5"/>
      <c r="S879" s="5"/>
      <c r="T879" s="5"/>
      <c r="U879" s="5"/>
      <c r="V879" s="46"/>
      <c r="W879" s="1563">
        <v>18000</v>
      </c>
      <c r="X879" s="1563"/>
      <c r="Y879" s="1563"/>
      <c r="Z879" s="1563"/>
      <c r="AA879" s="1563"/>
      <c r="AB879" s="1563"/>
      <c r="AC879" s="1563"/>
      <c r="AU879" s="4"/>
      <c r="AZ879" s="34"/>
      <c r="BA879" s="34"/>
      <c r="BB879" s="34"/>
      <c r="BC879" s="34"/>
    </row>
    <row r="880" spans="3:55" ht="12.95" customHeight="1">
      <c r="J880" s="45" t="s">
        <v>170</v>
      </c>
      <c r="K880" s="5"/>
      <c r="L880" s="5"/>
      <c r="M880" s="1557" t="s">
        <v>2773</v>
      </c>
      <c r="N880" s="1558"/>
      <c r="O880" s="1558"/>
      <c r="P880" s="1558"/>
      <c r="Q880" s="1558"/>
      <c r="R880" s="1558"/>
      <c r="S880" s="1558"/>
      <c r="T880" s="1558"/>
      <c r="U880" s="1558"/>
      <c r="V880" s="1559"/>
      <c r="W880" s="1563">
        <v>10000</v>
      </c>
      <c r="X880" s="1563"/>
      <c r="Y880" s="1563"/>
      <c r="Z880" s="1563"/>
      <c r="AA880" s="1563"/>
      <c r="AB880" s="1563"/>
      <c r="AC880" s="156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76">
        <f>SUM(W874:W880)</f>
        <v>221740</v>
      </c>
      <c r="X881" s="1576"/>
      <c r="Y881" s="1576"/>
      <c r="Z881" s="1576"/>
      <c r="AA881" s="1576"/>
      <c r="AB881" s="1576"/>
      <c r="AC881" s="1576"/>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557" t="s">
        <v>334</v>
      </c>
      <c r="N883" s="1558"/>
      <c r="O883" s="1558"/>
      <c r="P883" s="1558"/>
      <c r="Q883" s="1558"/>
      <c r="R883" s="1558"/>
      <c r="S883" s="1558"/>
      <c r="T883" s="1558"/>
      <c r="U883" s="1558"/>
      <c r="V883" s="1559"/>
      <c r="W883" s="1368"/>
      <c r="X883" s="1369"/>
      <c r="Y883" s="1369"/>
      <c r="Z883" s="1369"/>
      <c r="AA883" s="1369"/>
      <c r="AB883" s="1369"/>
      <c r="AC883" s="1370"/>
      <c r="AD883" s="533"/>
      <c r="AV883" s="14"/>
      <c r="AW883" s="14"/>
      <c r="AX883" s="14"/>
      <c r="AY883" s="14"/>
      <c r="AZ883" s="34"/>
      <c r="BA883" s="34"/>
      <c r="BB883" s="34"/>
      <c r="BC883" s="34"/>
    </row>
    <row r="884" spans="3:55" ht="12.95" customHeight="1">
      <c r="C884" s="2" t="s">
        <v>1242</v>
      </c>
      <c r="J884" s="45" t="s">
        <v>170</v>
      </c>
      <c r="K884" s="5"/>
      <c r="L884" s="5"/>
      <c r="M884" s="1557" t="s">
        <v>334</v>
      </c>
      <c r="N884" s="1558"/>
      <c r="O884" s="1558"/>
      <c r="P884" s="1558"/>
      <c r="Q884" s="1558"/>
      <c r="R884" s="1558"/>
      <c r="S884" s="1558"/>
      <c r="T884" s="1558"/>
      <c r="U884" s="1558"/>
      <c r="V884" s="1559"/>
      <c r="W884" s="1368"/>
      <c r="X884" s="1369"/>
      <c r="Y884" s="1369"/>
      <c r="Z884" s="1369"/>
      <c r="AA884" s="1369"/>
      <c r="AB884" s="1369"/>
      <c r="AC884" s="1370"/>
      <c r="AD884" s="533"/>
      <c r="AV884" s="14"/>
      <c r="AW884" s="14"/>
      <c r="AX884" s="14"/>
      <c r="AY884" s="14"/>
      <c r="AZ884" s="34"/>
      <c r="BA884" s="34"/>
      <c r="BB884" s="34"/>
      <c r="BC884" s="34"/>
    </row>
    <row r="885" spans="3:55" ht="12.95" customHeight="1">
      <c r="J885" s="45" t="s">
        <v>170</v>
      </c>
      <c r="K885" s="5"/>
      <c r="L885" s="5"/>
      <c r="M885" s="1557" t="s">
        <v>334</v>
      </c>
      <c r="N885" s="1558"/>
      <c r="O885" s="1558"/>
      <c r="P885" s="1558"/>
      <c r="Q885" s="1558"/>
      <c r="R885" s="1558"/>
      <c r="S885" s="1558"/>
      <c r="T885" s="1558"/>
      <c r="U885" s="1558"/>
      <c r="V885" s="1559"/>
      <c r="W885" s="1368"/>
      <c r="X885" s="1369"/>
      <c r="Y885" s="1369"/>
      <c r="Z885" s="1369"/>
      <c r="AA885" s="1369"/>
      <c r="AB885" s="1369"/>
      <c r="AC885" s="137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7" t="s">
        <v>334</v>
      </c>
      <c r="N886" s="1558"/>
      <c r="O886" s="1558"/>
      <c r="P886" s="1558"/>
      <c r="Q886" s="1558"/>
      <c r="R886" s="1558"/>
      <c r="S886" s="1558"/>
      <c r="T886" s="1558"/>
      <c r="U886" s="1558"/>
      <c r="V886" s="1559"/>
      <c r="W886" s="1368"/>
      <c r="X886" s="1369"/>
      <c r="Y886" s="1369"/>
      <c r="Z886" s="1369"/>
      <c r="AA886" s="1369"/>
      <c r="AB886" s="1369"/>
      <c r="AC886" s="137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7" t="s">
        <v>334</v>
      </c>
      <c r="N887" s="1558"/>
      <c r="O887" s="1558"/>
      <c r="P887" s="1558"/>
      <c r="Q887" s="1558"/>
      <c r="R887" s="1558"/>
      <c r="S887" s="1558"/>
      <c r="T887" s="1558"/>
      <c r="U887" s="1558"/>
      <c r="V887" s="1559"/>
      <c r="W887" s="1368"/>
      <c r="X887" s="1369"/>
      <c r="Y887" s="1369"/>
      <c r="Z887" s="1369"/>
      <c r="AA887" s="1369"/>
      <c r="AB887" s="1369"/>
      <c r="AC887" s="137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365">
        <f>SUM(W883:W887)</f>
        <v>0</v>
      </c>
      <c r="X888" s="1366"/>
      <c r="Y888" s="1366"/>
      <c r="Z888" s="1366"/>
      <c r="AA888" s="1366"/>
      <c r="AB888" s="1366"/>
      <c r="AC888" s="136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366">
        <f>W855+W863+W870+W872+W881+W888+W857</f>
        <v>1207787.3880999992</v>
      </c>
      <c r="AD892" s="1366"/>
      <c r="AE892" s="1366"/>
      <c r="AF892" s="1366"/>
      <c r="AG892" s="1366"/>
      <c r="AH892" s="136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74">
        <f>O805+O785+G761</f>
        <v>154</v>
      </c>
      <c r="AD893" s="1574"/>
      <c r="AE893" s="1574"/>
      <c r="AF893" s="1574"/>
      <c r="AG893" s="1574"/>
      <c r="AH893" s="1575"/>
      <c r="AL893" s="4"/>
      <c r="AM893" s="4"/>
      <c r="AN893" s="4"/>
      <c r="AO893" s="4"/>
      <c r="AP893" s="4"/>
      <c r="AQ893" s="4"/>
      <c r="AR893" s="4"/>
      <c r="AS893" s="4"/>
      <c r="AT893" s="4"/>
      <c r="AZ893" s="34"/>
      <c r="BA893" s="34"/>
      <c r="BB893" s="34"/>
      <c r="BC893" s="34"/>
    </row>
    <row r="894" spans="3:55" ht="12.95" customHeight="1">
      <c r="C894" s="41"/>
      <c r="D894" s="42"/>
      <c r="E894" s="1592" t="s">
        <v>32</v>
      </c>
      <c r="F894" s="1592"/>
      <c r="G894" s="1592"/>
      <c r="H894" s="1592"/>
      <c r="I894" s="1592"/>
      <c r="J894" s="1592"/>
      <c r="K894" s="1592"/>
      <c r="L894" s="1592"/>
      <c r="M894" s="1592"/>
      <c r="N894" s="1592"/>
      <c r="O894" s="1592"/>
      <c r="P894" s="1592"/>
      <c r="Q894" s="1592"/>
      <c r="R894" s="1592"/>
      <c r="S894" s="1592"/>
      <c r="T894" s="1592"/>
      <c r="U894" s="1592"/>
      <c r="V894" s="1592"/>
      <c r="W894" s="1592"/>
      <c r="X894" s="1592"/>
      <c r="Y894" s="1592"/>
      <c r="Z894" s="1592"/>
      <c r="AA894" s="1592"/>
      <c r="AB894" s="1593"/>
      <c r="AC894" s="1576">
        <f>IF(ISERROR((ROUNDDOWN(AC892/AC893,0))),0,(ROUNDDOWN(AC892/AC893,0)))</f>
        <v>7842</v>
      </c>
      <c r="AD894" s="1576"/>
      <c r="AE894" s="1576"/>
      <c r="AF894" s="1576"/>
      <c r="AG894" s="1576"/>
      <c r="AH894" s="1576"/>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70">
        <v>831202.01587846689</v>
      </c>
      <c r="AD895" s="1571"/>
      <c r="AE895" s="1571"/>
      <c r="AF895" s="1571"/>
      <c r="AG895" s="1571"/>
      <c r="AH895" s="157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70"/>
      <c r="AD896" s="1563"/>
      <c r="AE896" s="1563"/>
      <c r="AF896" s="1563"/>
      <c r="AG896" s="1563"/>
      <c r="AH896" s="156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69">
        <v>29099.999999999993</v>
      </c>
      <c r="AD897" s="1369"/>
      <c r="AE897" s="1369"/>
      <c r="AF897" s="1369"/>
      <c r="AG897" s="1369"/>
      <c r="AH897" s="137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69">
        <v>38500</v>
      </c>
      <c r="AD898" s="1369"/>
      <c r="AE898" s="1369"/>
      <c r="AF898" s="1369"/>
      <c r="AG898" s="1369"/>
      <c r="AH898" s="137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04"/>
      <c r="AD899" s="1405"/>
      <c r="AE899" s="1405"/>
      <c r="AF899" s="1405"/>
      <c r="AG899" s="1405"/>
      <c r="AH899" s="140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69">
        <v>15000</v>
      </c>
      <c r="AD900" s="1369"/>
      <c r="AE900" s="1369"/>
      <c r="AF900" s="1369"/>
      <c r="AG900" s="1369"/>
      <c r="AH900" s="1370"/>
      <c r="AZ900" s="34"/>
      <c r="BA900" s="34"/>
      <c r="BB900" s="34"/>
      <c r="BC900" s="34"/>
    </row>
    <row r="901" spans="1:58" ht="12.95" hidden="1" customHeight="1">
      <c r="C901" s="1520" t="s">
        <v>2184</v>
      </c>
      <c r="D901" s="1521"/>
      <c r="E901" s="1521"/>
      <c r="F901" s="1521"/>
      <c r="G901" s="1521"/>
      <c r="H901" s="1521"/>
      <c r="I901" s="1521"/>
      <c r="J901" s="1521"/>
      <c r="K901" s="1521"/>
      <c r="L901" s="1521"/>
      <c r="M901" s="1521"/>
      <c r="N901" s="1521"/>
      <c r="O901" s="1521"/>
      <c r="P901" s="1521"/>
      <c r="Q901" s="1521"/>
      <c r="R901" s="1521"/>
      <c r="S901" s="1521"/>
      <c r="T901" s="1521"/>
      <c r="U901" s="1521"/>
      <c r="V901" s="1521"/>
      <c r="W901" s="1521"/>
      <c r="X901" s="1521"/>
      <c r="Y901" s="1521"/>
      <c r="Z901" s="1521"/>
      <c r="AA901" s="1521"/>
      <c r="AB901" s="1523"/>
      <c r="AC901" s="1369"/>
      <c r="AD901" s="1369"/>
      <c r="AE901" s="1369"/>
      <c r="AF901" s="1369"/>
      <c r="AG901" s="1369"/>
      <c r="AH901" s="137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69"/>
      <c r="AD902" s="1369"/>
      <c r="AE902" s="1369"/>
      <c r="AF902" s="1369"/>
      <c r="AG902" s="1369"/>
      <c r="AH902" s="1370"/>
      <c r="AZ902" s="34"/>
      <c r="BA902" s="34"/>
      <c r="BB902" s="34"/>
      <c r="BC902" s="34"/>
    </row>
    <row r="903" spans="1:58" ht="12.95" customHeight="1">
      <c r="C903" s="1626" t="s">
        <v>2798</v>
      </c>
      <c r="D903" s="1627"/>
      <c r="E903" s="1627"/>
      <c r="F903" s="1627"/>
      <c r="G903" s="1627"/>
      <c r="H903" s="1627"/>
      <c r="I903" s="1627"/>
      <c r="J903" s="1627"/>
      <c r="K903" s="1627"/>
      <c r="L903" s="1627"/>
      <c r="M903" s="1627"/>
      <c r="N903" s="1627"/>
      <c r="O903" s="1627"/>
      <c r="P903" s="1627"/>
      <c r="Q903" s="1627"/>
      <c r="R903" s="1627"/>
      <c r="S903" s="1627"/>
      <c r="T903" s="1627"/>
      <c r="U903" s="1627"/>
      <c r="V903" s="1627"/>
      <c r="W903" s="1627"/>
      <c r="X903" s="1627"/>
      <c r="Y903" s="1627"/>
      <c r="Z903" s="1627"/>
      <c r="AA903" s="1627"/>
      <c r="AB903" s="1628"/>
      <c r="AC903" s="1563">
        <v>46928</v>
      </c>
      <c r="AD903" s="1563"/>
      <c r="AE903" s="1563"/>
      <c r="AF903" s="1563"/>
      <c r="AG903" s="1563"/>
      <c r="AH903" s="1563"/>
      <c r="AZ903" s="34"/>
      <c r="BA903" s="34"/>
      <c r="BB903" s="34"/>
      <c r="BC903" s="34"/>
    </row>
    <row r="904" spans="1:58" ht="12.95" customHeight="1">
      <c r="C904" s="1626" t="s">
        <v>954</v>
      </c>
      <c r="D904" s="1627"/>
      <c r="E904" s="1627"/>
      <c r="F904" s="1627"/>
      <c r="G904" s="1627"/>
      <c r="H904" s="1627"/>
      <c r="I904" s="1627"/>
      <c r="J904" s="1627"/>
      <c r="K904" s="1627"/>
      <c r="L904" s="1627"/>
      <c r="M904" s="1627"/>
      <c r="N904" s="1627"/>
      <c r="O904" s="1627"/>
      <c r="P904" s="1627"/>
      <c r="Q904" s="1627"/>
      <c r="R904" s="1627"/>
      <c r="S904" s="1627"/>
      <c r="T904" s="1627"/>
      <c r="U904" s="1627"/>
      <c r="V904" s="1627"/>
      <c r="W904" s="1627"/>
      <c r="X904" s="1627"/>
      <c r="Y904" s="1627"/>
      <c r="Z904" s="1627"/>
      <c r="AA904" s="1627"/>
      <c r="AB904" s="1628"/>
      <c r="AC904" s="1563"/>
      <c r="AD904" s="1563"/>
      <c r="AE904" s="1563"/>
      <c r="AF904" s="1563"/>
      <c r="AG904" s="1563"/>
      <c r="AH904" s="156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68"/>
      <c r="AA908" s="1369"/>
      <c r="AB908" s="1369"/>
      <c r="AC908" s="1369"/>
      <c r="AD908" s="1369"/>
      <c r="AE908" s="1370"/>
      <c r="AF908" s="533"/>
      <c r="AZ908" s="34"/>
      <c r="BB908" s="30"/>
      <c r="BC908" s="812"/>
      <c r="BD908" s="1595"/>
      <c r="BE908" s="1595"/>
      <c r="BF908" s="14"/>
    </row>
    <row r="909" spans="1:58" ht="12.95" customHeight="1">
      <c r="H909" s="121" t="s">
        <v>239</v>
      </c>
      <c r="I909" s="5"/>
      <c r="J909" s="5"/>
      <c r="K909" s="5"/>
      <c r="L909" s="5"/>
      <c r="M909" s="5"/>
      <c r="N909" s="5"/>
      <c r="O909" s="5"/>
      <c r="P909" s="5"/>
      <c r="Q909" s="5"/>
      <c r="R909" s="5"/>
      <c r="S909" s="5"/>
      <c r="T909" s="5"/>
      <c r="U909" s="5"/>
      <c r="V909" s="5"/>
      <c r="W909" s="5"/>
      <c r="X909" s="5"/>
      <c r="Y909" s="5"/>
      <c r="Z909" s="1368"/>
      <c r="AA909" s="1369"/>
      <c r="AB909" s="1369"/>
      <c r="AC909" s="1369"/>
      <c r="AD909" s="1369"/>
      <c r="AE909" s="1370"/>
      <c r="AZ909" s="34"/>
      <c r="BB909" s="30"/>
      <c r="BC909" s="812"/>
      <c r="BD909" s="1595"/>
      <c r="BE909" s="1595"/>
      <c r="BF909" s="14"/>
    </row>
    <row r="910" spans="1:58" ht="12.95" customHeight="1">
      <c r="H910" s="121" t="s">
        <v>240</v>
      </c>
      <c r="I910" s="5"/>
      <c r="J910" s="5"/>
      <c r="K910" s="5"/>
      <c r="L910" s="5"/>
      <c r="M910" s="5"/>
      <c r="N910" s="5"/>
      <c r="O910" s="5"/>
      <c r="P910" s="5"/>
      <c r="Q910" s="5"/>
      <c r="R910" s="5"/>
      <c r="S910" s="5"/>
      <c r="T910" s="5"/>
      <c r="U910" s="5"/>
      <c r="V910" s="5"/>
      <c r="W910" s="5"/>
      <c r="X910" s="5"/>
      <c r="Y910" s="5"/>
      <c r="Z910" s="1368"/>
      <c r="AA910" s="1369"/>
      <c r="AB910" s="1369"/>
      <c r="AC910" s="1369"/>
      <c r="AD910" s="1369"/>
      <c r="AE910" s="1370"/>
      <c r="AZ910" s="34"/>
      <c r="BB910" s="30"/>
      <c r="BC910" s="812"/>
      <c r="BD910" s="1594"/>
      <c r="BE910" s="1594"/>
      <c r="BF910" s="14"/>
    </row>
    <row r="911" spans="1:58" ht="12.95" customHeight="1">
      <c r="H911" s="45"/>
      <c r="I911" s="5"/>
      <c r="J911" s="5"/>
      <c r="K911" s="5"/>
      <c r="L911" s="5"/>
      <c r="M911" s="5"/>
      <c r="N911" s="5"/>
      <c r="O911" s="5"/>
      <c r="P911" s="5"/>
      <c r="Q911" s="5"/>
      <c r="R911" s="5"/>
      <c r="S911" s="5"/>
      <c r="T911" s="5"/>
      <c r="U911" s="5"/>
      <c r="V911" s="5"/>
      <c r="W911" s="5"/>
      <c r="X911" s="5"/>
      <c r="Y911" s="181" t="s">
        <v>241</v>
      </c>
      <c r="Z911" s="1365">
        <f>Z908-(Z909+Z910)</f>
        <v>0</v>
      </c>
      <c r="AA911" s="1366"/>
      <c r="AB911" s="1366"/>
      <c r="AC911" s="1366"/>
      <c r="AD911" s="1366"/>
      <c r="AE911" s="1367"/>
      <c r="AZ911" s="34"/>
      <c r="BB911" s="30"/>
      <c r="BC911" s="812"/>
      <c r="BD911" s="1594"/>
      <c r="BE911" s="159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94"/>
      <c r="BE912" s="1594"/>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95"/>
      <c r="BE913" s="1594"/>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97"/>
      <c r="BE914" s="1597"/>
      <c r="BF914" s="1597"/>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96"/>
      <c r="BE915" s="1596"/>
      <c r="BF915" s="1596"/>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94"/>
      <c r="BE916" s="159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95"/>
      <c r="BE917" s="1594"/>
      <c r="BF917" s="14"/>
    </row>
    <row r="918" spans="1:58" ht="12.95" customHeight="1">
      <c r="AZ918" s="34"/>
      <c r="BB918" s="30"/>
      <c r="BC918" s="812"/>
    </row>
    <row r="919" spans="1:58" ht="12.95" customHeight="1">
      <c r="A919" s="1467" t="s">
        <v>96</v>
      </c>
      <c r="B919" s="1467"/>
      <c r="C919" s="1467"/>
      <c r="D919" s="1467"/>
      <c r="E919" s="1467"/>
      <c r="F919" s="1467"/>
      <c r="G919" s="1467"/>
      <c r="H919" s="1467"/>
      <c r="I919" s="1467"/>
      <c r="J919" s="1467"/>
      <c r="K919" s="1467"/>
      <c r="L919" s="1467"/>
      <c r="M919" s="1467"/>
      <c r="N919" s="1467"/>
      <c r="O919" s="1467"/>
      <c r="P919" s="1467"/>
      <c r="Q919" s="1467"/>
      <c r="R919" s="1467"/>
      <c r="S919" s="1467"/>
      <c r="T919" s="1467"/>
      <c r="U919" s="1467"/>
      <c r="V919" s="1467"/>
      <c r="W919" s="1467"/>
      <c r="X919" s="1467"/>
      <c r="Y919" s="1467"/>
      <c r="Z919" s="1467"/>
      <c r="AA919" s="1467"/>
      <c r="AB919" s="1467"/>
      <c r="AC919" s="1467"/>
      <c r="AD919" s="1467"/>
      <c r="AE919" s="1467"/>
      <c r="AF919" s="1467"/>
      <c r="AG919" s="1467"/>
      <c r="AH919" s="1467"/>
      <c r="AI919" s="1467"/>
      <c r="AJ919" s="1467"/>
      <c r="AK919" s="1467"/>
      <c r="AL919" s="1467"/>
      <c r="AM919" s="1467"/>
      <c r="AN919" s="1467"/>
      <c r="AO919" s="1467"/>
      <c r="AP919" s="1467"/>
      <c r="AQ919" s="1467"/>
      <c r="AR919" s="1467"/>
      <c r="AS919" s="1467"/>
      <c r="AT919" s="1467"/>
      <c r="AZ919" s="34"/>
      <c r="BA919" s="34"/>
      <c r="BB919" s="30"/>
      <c r="BC919" s="30"/>
      <c r="BD919" s="1595"/>
      <c r="BE919" s="1594"/>
      <c r="BF919" s="907"/>
    </row>
    <row r="920" spans="1:58" ht="12.95" customHeight="1">
      <c r="A920" s="1467"/>
      <c r="B920" s="1467"/>
      <c r="C920" s="1467"/>
      <c r="D920" s="1467"/>
      <c r="E920" s="1467"/>
      <c r="F920" s="1467"/>
      <c r="G920" s="1467"/>
      <c r="H920" s="1467"/>
      <c r="I920" s="1467"/>
      <c r="J920" s="1467"/>
      <c r="K920" s="1467"/>
      <c r="L920" s="1467"/>
      <c r="M920" s="1467"/>
      <c r="N920" s="1467"/>
      <c r="O920" s="1467"/>
      <c r="P920" s="1467"/>
      <c r="Q920" s="1467"/>
      <c r="R920" s="1467"/>
      <c r="S920" s="1467"/>
      <c r="T920" s="1467"/>
      <c r="U920" s="1467"/>
      <c r="V920" s="1467"/>
      <c r="W920" s="1467"/>
      <c r="X920" s="1467"/>
      <c r="Y920" s="1467"/>
      <c r="Z920" s="1467"/>
      <c r="AA920" s="1467"/>
      <c r="AB920" s="1467"/>
      <c r="AC920" s="1467"/>
      <c r="AD920" s="1467"/>
      <c r="AE920" s="1467"/>
      <c r="AF920" s="1467"/>
      <c r="AG920" s="1467"/>
      <c r="AH920" s="1467"/>
      <c r="AI920" s="1467"/>
      <c r="AJ920" s="1467"/>
      <c r="AK920" s="1467"/>
      <c r="AL920" s="1467"/>
      <c r="AM920" s="1467"/>
      <c r="AN920" s="1467"/>
      <c r="AO920" s="1467"/>
      <c r="AP920" s="1467"/>
      <c r="AQ920" s="1467"/>
      <c r="AR920" s="1467"/>
      <c r="AS920" s="1467"/>
      <c r="AT920" s="1467"/>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67" t="s">
        <v>791</v>
      </c>
      <c r="G924" s="1568"/>
      <c r="H924" s="1568"/>
      <c r="I924" s="1568"/>
      <c r="J924" s="1568"/>
      <c r="K924" s="1568"/>
      <c r="L924" s="1568"/>
      <c r="M924" s="1568"/>
      <c r="N924" s="1568"/>
      <c r="O924" s="1568"/>
      <c r="P924" s="1568"/>
      <c r="Q924" s="1568"/>
      <c r="R924" s="1568"/>
      <c r="S924" s="1568"/>
      <c r="T924" s="1569"/>
      <c r="U924" s="1746" t="s">
        <v>31</v>
      </c>
      <c r="V924" s="1622"/>
      <c r="W924" s="1622"/>
      <c r="X924" s="1622"/>
      <c r="Y924" s="1622"/>
      <c r="Z924" s="1622"/>
      <c r="AA924" s="43"/>
      <c r="AB924" s="105"/>
      <c r="AC924" s="105"/>
      <c r="AD924" s="105"/>
      <c r="AE924" s="105"/>
      <c r="AF924" s="106"/>
      <c r="AZ924" s="34"/>
      <c r="BA924" s="34"/>
      <c r="BB924" s="34"/>
      <c r="BC924" s="34"/>
    </row>
    <row r="925" spans="1:58" ht="12.95" customHeight="1">
      <c r="B925" s="2"/>
      <c r="F925" s="1651" t="s">
        <v>817</v>
      </c>
      <c r="G925" s="1652"/>
      <c r="H925" s="1652"/>
      <c r="I925" s="1652"/>
      <c r="J925" s="1652"/>
      <c r="K925" s="1652"/>
      <c r="L925" s="1652"/>
      <c r="M925" s="1652"/>
      <c r="N925" s="1652"/>
      <c r="O925" s="1652"/>
      <c r="P925" s="1652"/>
      <c r="Q925" s="1652"/>
      <c r="R925" s="1652"/>
      <c r="S925" s="1652"/>
      <c r="T925" s="1653"/>
      <c r="U925" s="1651"/>
      <c r="V925" s="1652"/>
      <c r="W925" s="1652"/>
      <c r="X925" s="1652"/>
      <c r="Y925" s="1652"/>
      <c r="Z925" s="1652"/>
      <c r="AA925" s="44"/>
      <c r="AB925" s="4"/>
      <c r="AC925" s="4"/>
      <c r="AD925" s="4"/>
      <c r="AE925" s="4"/>
      <c r="AF925" s="107"/>
      <c r="AZ925" s="34"/>
      <c r="BA925" s="34"/>
      <c r="BB925" s="34"/>
      <c r="BC925" s="34"/>
    </row>
    <row r="926" spans="1:58" ht="12.95" customHeight="1">
      <c r="B926" s="2"/>
      <c r="F926" s="1654"/>
      <c r="G926" s="1624"/>
      <c r="H926" s="1624"/>
      <c r="I926" s="1624"/>
      <c r="J926" s="1624"/>
      <c r="K926" s="1624"/>
      <c r="L926" s="1624"/>
      <c r="M926" s="1624"/>
      <c r="N926" s="1624"/>
      <c r="O926" s="1624"/>
      <c r="P926" s="1624"/>
      <c r="Q926" s="1624"/>
      <c r="R926" s="1624"/>
      <c r="S926" s="1624"/>
      <c r="T926" s="1625"/>
      <c r="U926" s="1654"/>
      <c r="V926" s="1624"/>
      <c r="W926" s="1624"/>
      <c r="X926" s="1624"/>
      <c r="Y926" s="1624"/>
      <c r="Z926" s="1624"/>
      <c r="AA926" s="108"/>
      <c r="AB926" s="1384" t="s">
        <v>391</v>
      </c>
      <c r="AC926" s="1384"/>
      <c r="AD926" s="1384"/>
      <c r="AE926" s="1384"/>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566" t="s">
        <v>544</v>
      </c>
      <c r="V927" s="1319"/>
      <c r="W927" s="1319"/>
      <c r="X927" s="1319"/>
      <c r="Y927" s="1319"/>
      <c r="Z927" s="1320"/>
      <c r="AA927" s="1572">
        <f>AM562</f>
        <v>15654500</v>
      </c>
      <c r="AB927" s="1452"/>
      <c r="AC927" s="1452"/>
      <c r="AD927" s="1452"/>
      <c r="AE927" s="1452"/>
      <c r="AF927" s="1573"/>
      <c r="AG927" s="1191" t="str">
        <f>IF(NOT(AA927=AW927),"!","")</f>
        <v/>
      </c>
      <c r="AH927" s="3"/>
      <c r="AW927" s="1350">
        <f>SUMIF($M$562:$M$573,"Loan, Tax-Exempt",$AM$562:$AM$573)</f>
        <v>15654500</v>
      </c>
      <c r="AX927" s="1350"/>
      <c r="AY927" s="1350"/>
      <c r="AZ927" s="3" t="s">
        <v>2535</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566" t="s">
        <v>544</v>
      </c>
      <c r="V928" s="1319"/>
      <c r="W928" s="1319"/>
      <c r="X928" s="1319"/>
      <c r="Y928" s="1319"/>
      <c r="Z928" s="1320"/>
      <c r="AA928" s="1572">
        <f>AM563</f>
        <v>31500000</v>
      </c>
      <c r="AB928" s="1452"/>
      <c r="AC928" s="1452"/>
      <c r="AD928" s="1452"/>
      <c r="AE928" s="1452"/>
      <c r="AF928" s="1573"/>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566" t="s">
        <v>590</v>
      </c>
      <c r="V929" s="1319"/>
      <c r="W929" s="1319"/>
      <c r="X929" s="1319"/>
      <c r="Y929" s="1319"/>
      <c r="Z929" s="1320"/>
      <c r="AA929" s="1572"/>
      <c r="AB929" s="1452"/>
      <c r="AC929" s="1452"/>
      <c r="AD929" s="1452"/>
      <c r="AE929" s="1452"/>
      <c r="AF929" s="1573"/>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566" t="s">
        <v>590</v>
      </c>
      <c r="V930" s="1319"/>
      <c r="W930" s="1319"/>
      <c r="X930" s="1319"/>
      <c r="Y930" s="1319"/>
      <c r="Z930" s="1320"/>
      <c r="AA930" s="1572"/>
      <c r="AB930" s="1452"/>
      <c r="AC930" s="1452"/>
      <c r="AD930" s="1452"/>
      <c r="AE930" s="1452"/>
      <c r="AF930" s="1573"/>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566" t="s">
        <v>590</v>
      </c>
      <c r="V931" s="1319"/>
      <c r="W931" s="1319"/>
      <c r="X931" s="1319"/>
      <c r="Y931" s="1319"/>
      <c r="Z931" s="1320"/>
      <c r="AA931" s="1572"/>
      <c r="AB931" s="1452"/>
      <c r="AC931" s="1452"/>
      <c r="AD931" s="1452"/>
      <c r="AE931" s="1452"/>
      <c r="AF931" s="1573"/>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566" t="s">
        <v>590</v>
      </c>
      <c r="V932" s="1319"/>
      <c r="W932" s="1319"/>
      <c r="X932" s="1319"/>
      <c r="Y932" s="1319"/>
      <c r="Z932" s="1320"/>
      <c r="AA932" s="1572"/>
      <c r="AB932" s="1452"/>
      <c r="AC932" s="1452"/>
      <c r="AD932" s="1452"/>
      <c r="AE932" s="1452"/>
      <c r="AF932" s="1573"/>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566" t="s">
        <v>590</v>
      </c>
      <c r="V933" s="1319"/>
      <c r="W933" s="1319"/>
      <c r="X933" s="1319"/>
      <c r="Y933" s="1319"/>
      <c r="Z933" s="1320"/>
      <c r="AA933" s="1572"/>
      <c r="AB933" s="1452"/>
      <c r="AC933" s="1452"/>
      <c r="AD933" s="1452"/>
      <c r="AE933" s="1452"/>
      <c r="AF933" s="1573"/>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566" t="s">
        <v>590</v>
      </c>
      <c r="V934" s="1319"/>
      <c r="W934" s="1319"/>
      <c r="X934" s="1319"/>
      <c r="Y934" s="1319"/>
      <c r="Z934" s="1320"/>
      <c r="AA934" s="1572"/>
      <c r="AB934" s="1452"/>
      <c r="AC934" s="1452"/>
      <c r="AD934" s="1452"/>
      <c r="AE934" s="1452"/>
      <c r="AF934" s="1573"/>
      <c r="AZ934" s="34"/>
      <c r="BA934" s="34"/>
      <c r="BB934" s="34"/>
      <c r="BC934" s="34"/>
    </row>
    <row r="935" spans="6:55" ht="12.95" customHeight="1">
      <c r="F935" s="1577" t="s">
        <v>2144</v>
      </c>
      <c r="G935" s="1578"/>
      <c r="H935" s="1578"/>
      <c r="I935" s="1578"/>
      <c r="J935" s="1578"/>
      <c r="K935" s="1578"/>
      <c r="L935" s="1578"/>
      <c r="M935" s="1578"/>
      <c r="N935" s="1578"/>
      <c r="O935" s="1578"/>
      <c r="P935" s="1578"/>
      <c r="Q935" s="1578"/>
      <c r="R935" s="1578"/>
      <c r="S935" s="1578"/>
      <c r="T935" s="1579"/>
      <c r="U935" s="1566" t="s">
        <v>590</v>
      </c>
      <c r="V935" s="1319"/>
      <c r="W935" s="1319"/>
      <c r="X935" s="1319"/>
      <c r="Y935" s="1319"/>
      <c r="Z935" s="1320"/>
      <c r="AA935" s="1572"/>
      <c r="AB935" s="1452"/>
      <c r="AC935" s="1452"/>
      <c r="AD935" s="1452"/>
      <c r="AE935" s="1452"/>
      <c r="AF935" s="1573"/>
      <c r="AZ935" s="34"/>
      <c r="BA935" s="34"/>
      <c r="BB935" s="34"/>
      <c r="BC935" s="34"/>
    </row>
    <row r="936" spans="6:55" ht="12.95" customHeight="1">
      <c r="F936" s="1577" t="s">
        <v>678</v>
      </c>
      <c r="G936" s="1578"/>
      <c r="H936" s="1578"/>
      <c r="I936" s="1578"/>
      <c r="J936" s="1578"/>
      <c r="K936" s="1578"/>
      <c r="L936" s="1578"/>
      <c r="M936" s="1578"/>
      <c r="N936" s="1578"/>
      <c r="O936" s="1578"/>
      <c r="P936" s="1578"/>
      <c r="Q936" s="1578"/>
      <c r="R936" s="1578"/>
      <c r="S936" s="1578"/>
      <c r="T936" s="1579"/>
      <c r="U936" s="1566" t="s">
        <v>590</v>
      </c>
      <c r="V936" s="1319"/>
      <c r="W936" s="1319"/>
      <c r="X936" s="1319"/>
      <c r="Y936" s="1319"/>
      <c r="Z936" s="1320"/>
      <c r="AA936" s="1572"/>
      <c r="AB936" s="1452"/>
      <c r="AC936" s="1452"/>
      <c r="AD936" s="1452"/>
      <c r="AE936" s="1452"/>
      <c r="AF936" s="1573"/>
      <c r="AU936" s="2"/>
      <c r="AZ936" s="34"/>
      <c r="BA936" s="34"/>
      <c r="BB936" s="34"/>
      <c r="BC936" s="34"/>
    </row>
    <row r="937" spans="6:55" ht="12.95" customHeight="1">
      <c r="F937" s="1577" t="s">
        <v>2145</v>
      </c>
      <c r="G937" s="1578"/>
      <c r="H937" s="1578"/>
      <c r="I937" s="1578"/>
      <c r="J937" s="1578"/>
      <c r="K937" s="1578"/>
      <c r="L937" s="1578"/>
      <c r="M937" s="1578"/>
      <c r="N937" s="1578"/>
      <c r="O937" s="1578"/>
      <c r="P937" s="1578"/>
      <c r="Q937" s="1578"/>
      <c r="R937" s="1578"/>
      <c r="S937" s="1578"/>
      <c r="T937" s="1579"/>
      <c r="U937" s="1566" t="s">
        <v>590</v>
      </c>
      <c r="V937" s="1319"/>
      <c r="W937" s="1319"/>
      <c r="X937" s="1319"/>
      <c r="Y937" s="1319"/>
      <c r="Z937" s="1320"/>
      <c r="AA937" s="1572"/>
      <c r="AB937" s="1452"/>
      <c r="AC937" s="1452"/>
      <c r="AD937" s="1452"/>
      <c r="AE937" s="1452"/>
      <c r="AF937" s="1573"/>
      <c r="AU937" s="2"/>
      <c r="AZ937" s="34"/>
      <c r="BA937" s="34"/>
      <c r="BB937" s="34"/>
      <c r="BC937" s="34"/>
    </row>
    <row r="938" spans="6:55" ht="12.95" customHeight="1">
      <c r="F938" s="1577" t="s">
        <v>2146</v>
      </c>
      <c r="G938" s="1578"/>
      <c r="H938" s="1578"/>
      <c r="I938" s="1578"/>
      <c r="J938" s="1578"/>
      <c r="K938" s="1578"/>
      <c r="L938" s="1578"/>
      <c r="M938" s="1578"/>
      <c r="N938" s="1578"/>
      <c r="O938" s="1578"/>
      <c r="P938" s="1578"/>
      <c r="Q938" s="1578"/>
      <c r="R938" s="1578"/>
      <c r="S938" s="1578"/>
      <c r="T938" s="1579"/>
      <c r="U938" s="1566" t="s">
        <v>590</v>
      </c>
      <c r="V938" s="1319"/>
      <c r="W938" s="1319"/>
      <c r="X938" s="1319"/>
      <c r="Y938" s="1319"/>
      <c r="Z938" s="1320"/>
      <c r="AA938" s="1572"/>
      <c r="AB938" s="1452"/>
      <c r="AC938" s="1452"/>
      <c r="AD938" s="1452"/>
      <c r="AE938" s="1452"/>
      <c r="AF938" s="1573"/>
      <c r="AU938" s="2"/>
      <c r="AZ938" s="34"/>
      <c r="BA938" s="34"/>
      <c r="BB938" s="34"/>
      <c r="BC938" s="34"/>
    </row>
    <row r="939" spans="6:55" ht="12.95" customHeight="1">
      <c r="F939" s="1577" t="s">
        <v>2147</v>
      </c>
      <c r="G939" s="1578"/>
      <c r="H939" s="1578"/>
      <c r="I939" s="1578"/>
      <c r="J939" s="1578"/>
      <c r="K939" s="1578"/>
      <c r="L939" s="1578"/>
      <c r="M939" s="1578"/>
      <c r="N939" s="1578"/>
      <c r="O939" s="1578"/>
      <c r="P939" s="1578"/>
      <c r="Q939" s="1578"/>
      <c r="R939" s="1578"/>
      <c r="S939" s="1578"/>
      <c r="T939" s="1579"/>
      <c r="U939" s="1566" t="s">
        <v>590</v>
      </c>
      <c r="V939" s="1319"/>
      <c r="W939" s="1319"/>
      <c r="X939" s="1319"/>
      <c r="Y939" s="1319"/>
      <c r="Z939" s="1320"/>
      <c r="AA939" s="1572"/>
      <c r="AB939" s="1452"/>
      <c r="AC939" s="1452"/>
      <c r="AD939" s="1452"/>
      <c r="AE939" s="1452"/>
      <c r="AF939" s="1573"/>
      <c r="AU939" s="2"/>
      <c r="AZ939" s="34"/>
      <c r="BA939" s="34"/>
      <c r="BB939" s="34"/>
      <c r="BC939" s="34"/>
    </row>
    <row r="940" spans="6:55" ht="12.95" customHeight="1">
      <c r="F940" s="1577" t="s">
        <v>2148</v>
      </c>
      <c r="G940" s="1578"/>
      <c r="H940" s="1578"/>
      <c r="I940" s="1578"/>
      <c r="J940" s="1578"/>
      <c r="K940" s="1578"/>
      <c r="L940" s="1578"/>
      <c r="M940" s="1578"/>
      <c r="N940" s="1578"/>
      <c r="O940" s="1578"/>
      <c r="P940" s="1578"/>
      <c r="Q940" s="1578"/>
      <c r="R940" s="1578"/>
      <c r="S940" s="1578"/>
      <c r="T940" s="1579"/>
      <c r="U940" s="1566" t="s">
        <v>590</v>
      </c>
      <c r="V940" s="1319"/>
      <c r="W940" s="1319"/>
      <c r="X940" s="1319"/>
      <c r="Y940" s="1319"/>
      <c r="Z940" s="1320"/>
      <c r="AA940" s="1572"/>
      <c r="AB940" s="1452"/>
      <c r="AC940" s="1452"/>
      <c r="AD940" s="1452"/>
      <c r="AE940" s="1452"/>
      <c r="AF940" s="1573"/>
      <c r="AU940" s="2"/>
      <c r="AZ940" s="34"/>
      <c r="BA940" s="34"/>
      <c r="BB940" s="34"/>
      <c r="BC940" s="34"/>
    </row>
    <row r="941" spans="6:55" ht="12.95" customHeight="1">
      <c r="F941" s="1577" t="s">
        <v>2149</v>
      </c>
      <c r="G941" s="1578"/>
      <c r="H941" s="1578"/>
      <c r="I941" s="1578"/>
      <c r="J941" s="1578"/>
      <c r="K941" s="1578"/>
      <c r="L941" s="1578"/>
      <c r="M941" s="1578"/>
      <c r="N941" s="1578"/>
      <c r="O941" s="1578"/>
      <c r="P941" s="1578"/>
      <c r="Q941" s="1578"/>
      <c r="R941" s="1578"/>
      <c r="S941" s="1578"/>
      <c r="T941" s="1579"/>
      <c r="U941" s="1566" t="s">
        <v>590</v>
      </c>
      <c r="V941" s="1319"/>
      <c r="W941" s="1319"/>
      <c r="X941" s="1319"/>
      <c r="Y941" s="1319"/>
      <c r="Z941" s="1320"/>
      <c r="AA941" s="1572"/>
      <c r="AB941" s="1452"/>
      <c r="AC941" s="1452"/>
      <c r="AD941" s="1452"/>
      <c r="AE941" s="1452"/>
      <c r="AF941" s="1573"/>
      <c r="AZ941" s="30"/>
      <c r="BA941" s="30"/>
    </row>
    <row r="942" spans="6:55" ht="12.95" customHeight="1">
      <c r="F942" s="178" t="s">
        <v>675</v>
      </c>
      <c r="G942" s="5"/>
      <c r="H942" s="5"/>
      <c r="I942" s="5"/>
      <c r="J942" s="5"/>
      <c r="K942" s="5"/>
      <c r="L942" s="5"/>
      <c r="M942" s="5"/>
      <c r="N942" s="5"/>
      <c r="O942" s="5"/>
      <c r="P942" s="5"/>
      <c r="Q942" s="5"/>
      <c r="R942" s="5"/>
      <c r="S942" s="5"/>
      <c r="T942" s="46"/>
      <c r="U942" s="1566" t="s">
        <v>590</v>
      </c>
      <c r="V942" s="1319"/>
      <c r="W942" s="1319"/>
      <c r="X942" s="1319"/>
      <c r="Y942" s="1319"/>
      <c r="Z942" s="1320"/>
      <c r="AA942" s="1572"/>
      <c r="AB942" s="1452"/>
      <c r="AC942" s="1452"/>
      <c r="AD942" s="1452"/>
      <c r="AE942" s="1452"/>
      <c r="AF942" s="1573"/>
    </row>
    <row r="943" spans="6:55" ht="12.95" customHeight="1">
      <c r="F943" s="121" t="s">
        <v>1275</v>
      </c>
      <c r="G943" s="5"/>
      <c r="H943" s="5"/>
      <c r="I943" s="5"/>
      <c r="J943" s="5"/>
      <c r="K943" s="5"/>
      <c r="L943" s="5"/>
      <c r="M943" s="5"/>
      <c r="N943" s="5"/>
      <c r="O943" s="5"/>
      <c r="P943" s="5"/>
      <c r="Q943" s="5"/>
      <c r="R943" s="5"/>
      <c r="S943" s="5"/>
      <c r="T943" s="46"/>
      <c r="U943" s="1566" t="s">
        <v>590</v>
      </c>
      <c r="V943" s="1319"/>
      <c r="W943" s="1319"/>
      <c r="X943" s="1319"/>
      <c r="Y943" s="1319"/>
      <c r="Z943" s="1320"/>
      <c r="AA943" s="1572"/>
      <c r="AB943" s="1452"/>
      <c r="AC943" s="1452"/>
      <c r="AD943" s="1452"/>
      <c r="AE943" s="1452"/>
      <c r="AF943" s="1573"/>
      <c r="AZ943" s="30"/>
      <c r="BA943" s="14"/>
    </row>
    <row r="944" spans="6:55" ht="12.95" customHeight="1">
      <c r="F944" s="66" t="s">
        <v>801</v>
      </c>
      <c r="G944" s="5"/>
      <c r="H944" s="5"/>
      <c r="I944" s="5"/>
      <c r="J944" s="5"/>
      <c r="K944" s="5"/>
      <c r="L944" s="5"/>
      <c r="M944" s="5"/>
      <c r="N944" s="5"/>
      <c r="O944" s="5"/>
      <c r="P944" s="5"/>
      <c r="Q944" s="5"/>
      <c r="R944" s="5"/>
      <c r="S944" s="5"/>
      <c r="T944" s="46"/>
      <c r="U944" s="1566" t="s">
        <v>590</v>
      </c>
      <c r="V944" s="1319"/>
      <c r="W944" s="1319"/>
      <c r="X944" s="1319"/>
      <c r="Y944" s="1319"/>
      <c r="Z944" s="1320"/>
      <c r="AA944" s="1572"/>
      <c r="AB944" s="1452"/>
      <c r="AC944" s="1452"/>
      <c r="AD944" s="1452"/>
      <c r="AE944" s="1452"/>
      <c r="AF944" s="1573"/>
      <c r="AZ944" s="30"/>
      <c r="BA944" s="14"/>
    </row>
    <row r="945" spans="6:55" ht="12.95" customHeight="1">
      <c r="F945" s="1589" t="s">
        <v>2153</v>
      </c>
      <c r="G945" s="1590"/>
      <c r="H945" s="1590"/>
      <c r="I945" s="1590"/>
      <c r="J945" s="1590"/>
      <c r="K945" s="1590"/>
      <c r="L945" s="1590"/>
      <c r="M945" s="1590"/>
      <c r="N945" s="1590"/>
      <c r="O945" s="1590"/>
      <c r="P945" s="1590"/>
      <c r="Q945" s="1590"/>
      <c r="R945" s="1590"/>
      <c r="S945" s="1590"/>
      <c r="T945" s="1591"/>
      <c r="U945" s="1566" t="s">
        <v>590</v>
      </c>
      <c r="V945" s="1319"/>
      <c r="W945" s="1319"/>
      <c r="X945" s="1319"/>
      <c r="Y945" s="1319"/>
      <c r="Z945" s="1320"/>
      <c r="AA945" s="1572"/>
      <c r="AB945" s="1452"/>
      <c r="AC945" s="1452"/>
      <c r="AD945" s="1452"/>
      <c r="AE945" s="1452"/>
      <c r="AF945" s="1573"/>
      <c r="AZ945" s="30"/>
      <c r="BA945" s="14"/>
    </row>
    <row r="946" spans="6:55" ht="12.95" customHeight="1">
      <c r="F946" s="1589" t="s">
        <v>2154</v>
      </c>
      <c r="G946" s="1590"/>
      <c r="H946" s="1590"/>
      <c r="I946" s="1590"/>
      <c r="J946" s="1590"/>
      <c r="K946" s="1590"/>
      <c r="L946" s="1590"/>
      <c r="M946" s="1590"/>
      <c r="N946" s="1590"/>
      <c r="O946" s="1590"/>
      <c r="P946" s="1590"/>
      <c r="Q946" s="1590"/>
      <c r="R946" s="1590"/>
      <c r="S946" s="1590"/>
      <c r="T946" s="1591"/>
      <c r="U946" s="1566" t="s">
        <v>590</v>
      </c>
      <c r="V946" s="1319"/>
      <c r="W946" s="1319"/>
      <c r="X946" s="1319"/>
      <c r="Y946" s="1319"/>
      <c r="Z946" s="1320"/>
      <c r="AA946" s="1572"/>
      <c r="AB946" s="1452"/>
      <c r="AC946" s="1452"/>
      <c r="AD946" s="1452"/>
      <c r="AE946" s="1452"/>
      <c r="AF946" s="1573"/>
      <c r="AZ946" s="30"/>
      <c r="BA946" s="30"/>
    </row>
    <row r="947" spans="6:55" ht="12.95" customHeight="1">
      <c r="F947" s="1577" t="s">
        <v>2150</v>
      </c>
      <c r="G947" s="1578"/>
      <c r="H947" s="1578"/>
      <c r="I947" s="1578"/>
      <c r="J947" s="1578"/>
      <c r="K947" s="1578"/>
      <c r="L947" s="1578"/>
      <c r="M947" s="1578"/>
      <c r="N947" s="1578"/>
      <c r="O947" s="1578"/>
      <c r="P947" s="1578"/>
      <c r="Q947" s="1578"/>
      <c r="R947" s="1578"/>
      <c r="S947" s="1578"/>
      <c r="T947" s="1579"/>
      <c r="U947" s="1566" t="s">
        <v>590</v>
      </c>
      <c r="V947" s="1319"/>
      <c r="W947" s="1319"/>
      <c r="X947" s="1319"/>
      <c r="Y947" s="1319"/>
      <c r="Z947" s="1320"/>
      <c r="AA947" s="1572"/>
      <c r="AB947" s="1452"/>
      <c r="AC947" s="1452"/>
      <c r="AD947" s="1452"/>
      <c r="AE947" s="1452"/>
      <c r="AF947" s="1573"/>
      <c r="AZ947" s="30"/>
      <c r="BA947" s="30"/>
    </row>
    <row r="948" spans="6:55" ht="12.95" customHeight="1">
      <c r="F948" s="1577" t="s">
        <v>2151</v>
      </c>
      <c r="G948" s="1578"/>
      <c r="H948" s="1578"/>
      <c r="I948" s="1578"/>
      <c r="J948" s="1578"/>
      <c r="K948" s="1578"/>
      <c r="L948" s="1578"/>
      <c r="M948" s="1578"/>
      <c r="N948" s="1578"/>
      <c r="O948" s="1578"/>
      <c r="P948" s="1578"/>
      <c r="Q948" s="1578"/>
      <c r="R948" s="1578"/>
      <c r="S948" s="1578"/>
      <c r="T948" s="1579"/>
      <c r="U948" s="1566" t="s">
        <v>590</v>
      </c>
      <c r="V948" s="1319"/>
      <c r="W948" s="1319"/>
      <c r="X948" s="1319"/>
      <c r="Y948" s="1319"/>
      <c r="Z948" s="1320"/>
      <c r="AA948" s="1572"/>
      <c r="AB948" s="1452"/>
      <c r="AC948" s="1452"/>
      <c r="AD948" s="1452"/>
      <c r="AE948" s="1452"/>
      <c r="AF948" s="1573"/>
      <c r="AZ948" s="30"/>
      <c r="BA948" s="30"/>
    </row>
    <row r="949" spans="6:55" ht="12.95" customHeight="1">
      <c r="F949" s="1577" t="s">
        <v>2152</v>
      </c>
      <c r="G949" s="1578"/>
      <c r="H949" s="1578"/>
      <c r="I949" s="1578"/>
      <c r="J949" s="1578"/>
      <c r="K949" s="1578"/>
      <c r="L949" s="1578"/>
      <c r="M949" s="1578"/>
      <c r="N949" s="1578"/>
      <c r="O949" s="1578"/>
      <c r="P949" s="1578"/>
      <c r="Q949" s="1578"/>
      <c r="R949" s="1578"/>
      <c r="S949" s="1578"/>
      <c r="T949" s="1579"/>
      <c r="U949" s="1566" t="s">
        <v>590</v>
      </c>
      <c r="V949" s="1319"/>
      <c r="W949" s="1319"/>
      <c r="X949" s="1319"/>
      <c r="Y949" s="1319"/>
      <c r="Z949" s="1320"/>
      <c r="AA949" s="1572"/>
      <c r="AB949" s="1452"/>
      <c r="AC949" s="1452"/>
      <c r="AD949" s="1452"/>
      <c r="AE949" s="1452"/>
      <c r="AF949" s="1573"/>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566" t="s">
        <v>590</v>
      </c>
      <c r="V950" s="1319"/>
      <c r="W950" s="1319"/>
      <c r="X950" s="1319"/>
      <c r="Y950" s="1319"/>
      <c r="Z950" s="1320"/>
      <c r="AA950" s="1572"/>
      <c r="AB950" s="1452"/>
      <c r="AC950" s="1452"/>
      <c r="AD950" s="1452"/>
      <c r="AE950" s="1452"/>
      <c r="AF950" s="1573"/>
      <c r="AZ950" s="34"/>
      <c r="BA950" s="34"/>
      <c r="BB950" s="14"/>
      <c r="BC950" s="14"/>
    </row>
    <row r="951" spans="6:55" ht="12.95" customHeight="1">
      <c r="F951" s="1589" t="s">
        <v>2155</v>
      </c>
      <c r="G951" s="1590"/>
      <c r="H951" s="1590"/>
      <c r="I951" s="1590"/>
      <c r="J951" s="1590"/>
      <c r="K951" s="1590"/>
      <c r="L951" s="1590"/>
      <c r="M951" s="1590"/>
      <c r="N951" s="1590"/>
      <c r="O951" s="1590"/>
      <c r="P951" s="1590"/>
      <c r="Q951" s="1590"/>
      <c r="R951" s="1590"/>
      <c r="S951" s="1590"/>
      <c r="T951" s="1591"/>
      <c r="U951" s="1566" t="s">
        <v>590</v>
      </c>
      <c r="V951" s="1319"/>
      <c r="W951" s="1319"/>
      <c r="X951" s="1319"/>
      <c r="Y951" s="1319"/>
      <c r="Z951" s="1320"/>
      <c r="AA951" s="1572"/>
      <c r="AB951" s="1452"/>
      <c r="AC951" s="1452"/>
      <c r="AD951" s="1452"/>
      <c r="AE951" s="1452"/>
      <c r="AF951" s="1573"/>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566" t="s">
        <v>590</v>
      </c>
      <c r="V952" s="1319"/>
      <c r="W952" s="1319"/>
      <c r="X952" s="1319"/>
      <c r="Y952" s="1319"/>
      <c r="Z952" s="1320"/>
      <c r="AA952" s="1572"/>
      <c r="AB952" s="1452"/>
      <c r="AC952" s="1452"/>
      <c r="AD952" s="1452"/>
      <c r="AE952" s="1452"/>
      <c r="AF952" s="1573"/>
      <c r="AZ952" s="34"/>
      <c r="BA952" s="34"/>
      <c r="BB952" s="34"/>
      <c r="BC952" s="34"/>
    </row>
    <row r="953" spans="6:55" ht="12.95" customHeight="1">
      <c r="F953" s="1589" t="s">
        <v>2156</v>
      </c>
      <c r="G953" s="1590"/>
      <c r="H953" s="1590"/>
      <c r="I953" s="1590"/>
      <c r="J953" s="1590"/>
      <c r="K953" s="1590"/>
      <c r="L953" s="1590"/>
      <c r="M953" s="1590"/>
      <c r="N953" s="1590"/>
      <c r="O953" s="1590"/>
      <c r="P953" s="1590"/>
      <c r="Q953" s="1590"/>
      <c r="R953" s="1590"/>
      <c r="S953" s="1590"/>
      <c r="T953" s="1591"/>
      <c r="U953" s="1566" t="s">
        <v>590</v>
      </c>
      <c r="V953" s="1319"/>
      <c r="W953" s="1319"/>
      <c r="X953" s="1319"/>
      <c r="Y953" s="1319"/>
      <c r="Z953" s="1320"/>
      <c r="AA953" s="1572"/>
      <c r="AB953" s="1452"/>
      <c r="AC953" s="1452"/>
      <c r="AD953" s="1452"/>
      <c r="AE953" s="1452"/>
      <c r="AF953" s="1573"/>
      <c r="AZ953" s="34"/>
      <c r="BA953" s="34"/>
      <c r="BB953" s="34"/>
      <c r="BC953" s="34"/>
    </row>
    <row r="954" spans="6:55" ht="12.95" customHeight="1">
      <c r="F954" s="45" t="s">
        <v>805</v>
      </c>
      <c r="G954" s="5"/>
      <c r="H954" s="5"/>
      <c r="I954" s="5"/>
      <c r="J954" s="5"/>
      <c r="K954" s="5"/>
      <c r="L954" s="5"/>
      <c r="M954" s="5"/>
      <c r="N954" s="5"/>
      <c r="O954" s="5"/>
      <c r="P954" s="1566" t="s">
        <v>668</v>
      </c>
      <c r="Q954" s="1319"/>
      <c r="R954" s="1319"/>
      <c r="S954" s="1319"/>
      <c r="T954" s="1320"/>
      <c r="U954" s="1566" t="s">
        <v>590</v>
      </c>
      <c r="V954" s="1319"/>
      <c r="W954" s="1319"/>
      <c r="X954" s="1319"/>
      <c r="Y954" s="1319"/>
      <c r="Z954" s="1320"/>
      <c r="AA954" s="1572"/>
      <c r="AB954" s="1452"/>
      <c r="AC954" s="1452"/>
      <c r="AD954" s="1452"/>
      <c r="AE954" s="1452"/>
      <c r="AF954" s="1573"/>
      <c r="AZ954" s="34"/>
      <c r="BA954" s="34"/>
      <c r="BB954" s="34"/>
      <c r="BC954" s="34"/>
    </row>
    <row r="955" spans="6:55" ht="12.95" customHeight="1">
      <c r="F955" s="1577" t="s">
        <v>2143</v>
      </c>
      <c r="G955" s="1578"/>
      <c r="H955" s="1579"/>
      <c r="I955" s="1557" t="s">
        <v>334</v>
      </c>
      <c r="J955" s="1558"/>
      <c r="K955" s="1558"/>
      <c r="L955" s="1558"/>
      <c r="M955" s="1558"/>
      <c r="N955" s="1558"/>
      <c r="O955" s="1558"/>
      <c r="P955" s="1558"/>
      <c r="Q955" s="1558"/>
      <c r="R955" s="1558"/>
      <c r="S955" s="1558"/>
      <c r="T955" s="1559"/>
      <c r="U955" s="1566" t="s">
        <v>590</v>
      </c>
      <c r="V955" s="1319"/>
      <c r="W955" s="1319"/>
      <c r="X955" s="1319"/>
      <c r="Y955" s="1319"/>
      <c r="Z955" s="1320"/>
      <c r="AA955" s="1572"/>
      <c r="AB955" s="1452"/>
      <c r="AC955" s="1452"/>
      <c r="AD955" s="1452"/>
      <c r="AE955" s="1452"/>
      <c r="AF955" s="1573"/>
      <c r="AZ955" s="34"/>
      <c r="BA955" s="34"/>
      <c r="BB955" s="34"/>
      <c r="BC955" s="34"/>
    </row>
    <row r="956" spans="6:55" ht="12.95" customHeight="1">
      <c r="F956" s="45" t="s">
        <v>86</v>
      </c>
      <c r="G956" s="48"/>
      <c r="H956" s="48"/>
      <c r="I956" s="1557" t="s">
        <v>334</v>
      </c>
      <c r="J956" s="1558"/>
      <c r="K956" s="1558"/>
      <c r="L956" s="1558"/>
      <c r="M956" s="1558"/>
      <c r="N956" s="1558"/>
      <c r="O956" s="1558"/>
      <c r="P956" s="1558"/>
      <c r="Q956" s="1558"/>
      <c r="R956" s="1558"/>
      <c r="S956" s="1558"/>
      <c r="T956" s="1559"/>
      <c r="U956" s="1566" t="s">
        <v>590</v>
      </c>
      <c r="V956" s="1319"/>
      <c r="W956" s="1319"/>
      <c r="X956" s="1319"/>
      <c r="Y956" s="1319"/>
      <c r="Z956" s="1320"/>
      <c r="AA956" s="1572"/>
      <c r="AB956" s="1452"/>
      <c r="AC956" s="1452"/>
      <c r="AD956" s="1452"/>
      <c r="AE956" s="1452"/>
      <c r="AF956" s="1573"/>
      <c r="AZ956" s="34"/>
      <c r="BA956" s="34"/>
      <c r="BB956" s="34"/>
      <c r="BC956" s="34"/>
    </row>
    <row r="957" spans="6:55" ht="12.95" customHeight="1">
      <c r="F957" s="45" t="s">
        <v>10</v>
      </c>
      <c r="G957" s="48"/>
      <c r="H957" s="48"/>
      <c r="I957" s="1617" t="s">
        <v>334</v>
      </c>
      <c r="J957" s="1618"/>
      <c r="K957" s="1618"/>
      <c r="L957" s="1618"/>
      <c r="M957" s="1618"/>
      <c r="N957" s="1618"/>
      <c r="O957" s="1618"/>
      <c r="P957" s="1618"/>
      <c r="Q957" s="1618"/>
      <c r="R957" s="1618"/>
      <c r="S957" s="1618"/>
      <c r="T957" s="1619"/>
      <c r="U957" s="1566" t="s">
        <v>590</v>
      </c>
      <c r="V957" s="1319"/>
      <c r="W957" s="1319"/>
      <c r="X957" s="1319"/>
      <c r="Y957" s="1319"/>
      <c r="Z957" s="1320"/>
      <c r="AA957" s="1572"/>
      <c r="AB957" s="1452"/>
      <c r="AC957" s="1452"/>
      <c r="AD957" s="1452"/>
      <c r="AE957" s="1452"/>
      <c r="AF957" s="1573"/>
      <c r="AV957" s="2"/>
      <c r="AW957" s="2"/>
      <c r="AX957" s="2"/>
      <c r="AY957" s="2"/>
      <c r="AZ957" s="34"/>
      <c r="BA957" s="34"/>
      <c r="BB957" s="34"/>
      <c r="BC957" s="34"/>
    </row>
    <row r="958" spans="6:55" ht="12.95" customHeight="1">
      <c r="F958" s="47" t="s">
        <v>170</v>
      </c>
      <c r="G958" s="48"/>
      <c r="H958" s="48"/>
      <c r="I958" s="1617" t="s">
        <v>334</v>
      </c>
      <c r="J958" s="1618"/>
      <c r="K958" s="1618"/>
      <c r="L958" s="1618"/>
      <c r="M958" s="1618"/>
      <c r="N958" s="1618"/>
      <c r="O958" s="1618"/>
      <c r="P958" s="1618"/>
      <c r="Q958" s="1618"/>
      <c r="R958" s="1618"/>
      <c r="S958" s="1618"/>
      <c r="T958" s="1619"/>
      <c r="U958" s="1566" t="s">
        <v>590</v>
      </c>
      <c r="V958" s="1319"/>
      <c r="W958" s="1319"/>
      <c r="X958" s="1319"/>
      <c r="Y958" s="1319"/>
      <c r="Z958" s="1320"/>
      <c r="AA958" s="1572"/>
      <c r="AB958" s="1452"/>
      <c r="AC958" s="1452"/>
      <c r="AD958" s="1452"/>
      <c r="AE958" s="1452"/>
      <c r="AF958" s="1573"/>
      <c r="AU958" s="2"/>
      <c r="AZ958" s="34"/>
      <c r="BA958" s="34"/>
      <c r="BB958" s="34"/>
      <c r="BC958" s="34"/>
    </row>
    <row r="959" spans="6:55" ht="12.95" customHeight="1">
      <c r="F959" s="47" t="s">
        <v>170</v>
      </c>
      <c r="G959" s="48"/>
      <c r="H959" s="48"/>
      <c r="I959" s="1617" t="s">
        <v>334</v>
      </c>
      <c r="J959" s="1618"/>
      <c r="K959" s="1618"/>
      <c r="L959" s="1618"/>
      <c r="M959" s="1618"/>
      <c r="N959" s="1618"/>
      <c r="O959" s="1618"/>
      <c r="P959" s="1618"/>
      <c r="Q959" s="1618"/>
      <c r="R959" s="1618"/>
      <c r="S959" s="1618"/>
      <c r="T959" s="1619"/>
      <c r="U959" s="1566" t="s">
        <v>590</v>
      </c>
      <c r="V959" s="1319"/>
      <c r="W959" s="1319"/>
      <c r="X959" s="1319"/>
      <c r="Y959" s="1319"/>
      <c r="Z959" s="1320"/>
      <c r="AA959" s="1572"/>
      <c r="AB959" s="1452"/>
      <c r="AC959" s="1452"/>
      <c r="AD959" s="1452"/>
      <c r="AE959" s="1452"/>
      <c r="AF959" s="1573"/>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1"/>
      <c r="N964" s="1447"/>
      <c r="O964" s="1447"/>
      <c r="P964" s="1447"/>
      <c r="Q964" s="1447"/>
      <c r="R964" s="1447"/>
      <c r="S964" s="1547"/>
      <c r="U964" s="66" t="s">
        <v>11</v>
      </c>
      <c r="V964" s="5"/>
      <c r="W964" s="5"/>
      <c r="X964" s="5"/>
      <c r="Y964" s="5"/>
      <c r="Z964" s="5"/>
      <c r="AA964" s="5"/>
      <c r="AB964" s="5"/>
      <c r="AC964" s="5"/>
      <c r="AD964" s="46"/>
      <c r="AE964" s="1621"/>
      <c r="AF964" s="1447"/>
      <c r="AG964" s="1447"/>
      <c r="AH964" s="1447"/>
      <c r="AI964" s="1447"/>
      <c r="AJ964" s="1447"/>
      <c r="AK964" s="1547"/>
      <c r="AZ964" s="34"/>
      <c r="BA964" s="34"/>
      <c r="BB964" s="34"/>
      <c r="BC964" s="34"/>
    </row>
    <row r="965" spans="1:64" ht="12.95" customHeight="1">
      <c r="C965" s="66" t="s">
        <v>12</v>
      </c>
      <c r="D965" s="5"/>
      <c r="E965" s="5"/>
      <c r="F965" s="5"/>
      <c r="G965" s="5"/>
      <c r="H965" s="5"/>
      <c r="I965" s="5"/>
      <c r="J965" s="5"/>
      <c r="K965" s="5"/>
      <c r="L965" s="46"/>
      <c r="M965" s="1629"/>
      <c r="N965" s="1457"/>
      <c r="O965" s="1457"/>
      <c r="P965" s="1457"/>
      <c r="Q965" s="1457"/>
      <c r="R965" s="1457"/>
      <c r="S965" s="1630"/>
      <c r="U965" s="66" t="s">
        <v>12</v>
      </c>
      <c r="V965" s="5"/>
      <c r="W965" s="5"/>
      <c r="X965" s="5"/>
      <c r="Y965" s="5"/>
      <c r="Z965" s="5"/>
      <c r="AA965" s="5"/>
      <c r="AB965" s="5"/>
      <c r="AC965" s="5"/>
      <c r="AD965" s="46"/>
      <c r="AE965" s="1629"/>
      <c r="AF965" s="1457"/>
      <c r="AG965" s="1457"/>
      <c r="AH965" s="1457"/>
      <c r="AI965" s="1457"/>
      <c r="AJ965" s="1457"/>
      <c r="AK965" s="1630"/>
      <c r="AZ965" s="34"/>
      <c r="BA965" s="34"/>
      <c r="BB965" s="34"/>
      <c r="BC965" s="34"/>
    </row>
    <row r="966" spans="1:64" ht="12.95" customHeight="1">
      <c r="C966" s="66" t="s">
        <v>878</v>
      </c>
      <c r="D966" s="5"/>
      <c r="E966" s="5"/>
      <c r="J966" s="1659" t="s">
        <v>307</v>
      </c>
      <c r="K966" s="1660"/>
      <c r="L966" s="1660"/>
      <c r="M966" s="1660"/>
      <c r="N966" s="1660"/>
      <c r="O966" s="1660"/>
      <c r="P966" s="1660"/>
      <c r="Q966" s="1660"/>
      <c r="R966" s="1660"/>
      <c r="S966" s="1661"/>
      <c r="U966" s="66" t="s">
        <v>878</v>
      </c>
      <c r="V966" s="5"/>
      <c r="W966" s="5"/>
      <c r="AB966" s="1659" t="s">
        <v>307</v>
      </c>
      <c r="AC966" s="1660"/>
      <c r="AD966" s="1660"/>
      <c r="AE966" s="1660"/>
      <c r="AF966" s="1660"/>
      <c r="AG966" s="1660"/>
      <c r="AH966" s="1660"/>
      <c r="AI966" s="1660"/>
      <c r="AJ966" s="1660"/>
      <c r="AK966" s="1661"/>
      <c r="AZ966" s="34"/>
      <c r="BA966" s="34"/>
      <c r="BB966" s="34"/>
      <c r="BC966" s="34"/>
    </row>
    <row r="967" spans="1:64" ht="12.95" customHeight="1">
      <c r="C967" s="66" t="s">
        <v>13</v>
      </c>
      <c r="D967" s="5"/>
      <c r="E967" s="5"/>
      <c r="F967" s="5"/>
      <c r="G967" s="5"/>
      <c r="H967" s="5"/>
      <c r="I967" s="5"/>
      <c r="J967" s="5"/>
      <c r="K967" s="5"/>
      <c r="L967" s="46"/>
      <c r="M967" s="1634"/>
      <c r="N967" s="1635"/>
      <c r="O967" s="1635"/>
      <c r="P967" s="1635"/>
      <c r="Q967" s="1635"/>
      <c r="R967" s="1635"/>
      <c r="S967" s="1636"/>
      <c r="U967" s="66" t="s">
        <v>13</v>
      </c>
      <c r="V967" s="5"/>
      <c r="W967" s="5"/>
      <c r="X967" s="5"/>
      <c r="Y967" s="5"/>
      <c r="Z967" s="5"/>
      <c r="AA967" s="5"/>
      <c r="AB967" s="5"/>
      <c r="AC967" s="5"/>
      <c r="AD967" s="46"/>
      <c r="AE967" s="1650"/>
      <c r="AF967" s="1635"/>
      <c r="AG967" s="1635"/>
      <c r="AH967" s="1635"/>
      <c r="AI967" s="1635"/>
      <c r="AJ967" s="1635"/>
      <c r="AK967" s="1636"/>
      <c r="AZ967" s="34"/>
      <c r="BA967" s="34"/>
      <c r="BB967" s="34"/>
      <c r="BC967" s="34"/>
    </row>
    <row r="968" spans="1:64" ht="12.95" customHeight="1">
      <c r="C968" s="66" t="s">
        <v>14</v>
      </c>
      <c r="D968" s="5"/>
      <c r="E968" s="5"/>
      <c r="F968" s="5"/>
      <c r="G968" s="5"/>
      <c r="H968" s="5"/>
      <c r="I968" s="5"/>
      <c r="J968" s="5"/>
      <c r="K968" s="5"/>
      <c r="L968" s="46"/>
      <c r="M968" s="1549"/>
      <c r="N968" s="1550"/>
      <c r="O968" s="1550"/>
      <c r="P968" s="1550"/>
      <c r="Q968" s="1550"/>
      <c r="R968" s="1550"/>
      <c r="S968" s="1551"/>
      <c r="U968" s="66" t="s">
        <v>14</v>
      </c>
      <c r="V968" s="5"/>
      <c r="W968" s="5"/>
      <c r="X968" s="5"/>
      <c r="Y968" s="5"/>
      <c r="Z968" s="5"/>
      <c r="AA968" s="5"/>
      <c r="AB968" s="5"/>
      <c r="AC968" s="5"/>
      <c r="AD968" s="46"/>
      <c r="AE968" s="1549"/>
      <c r="AF968" s="1550"/>
      <c r="AG968" s="1550"/>
      <c r="AH968" s="1550"/>
      <c r="AI968" s="1550"/>
      <c r="AJ968" s="1550"/>
      <c r="AK968" s="1551"/>
      <c r="AV968" s="2"/>
      <c r="AW968" s="2"/>
      <c r="AX968" s="2"/>
      <c r="AY968" s="2"/>
      <c r="AZ968" s="34"/>
      <c r="BA968" s="34"/>
      <c r="BB968" s="34"/>
      <c r="BC968" s="34"/>
    </row>
    <row r="969" spans="1:64" ht="12.95" customHeight="1">
      <c r="C969" s="66" t="s">
        <v>15</v>
      </c>
      <c r="D969" s="5"/>
      <c r="E969" s="5"/>
      <c r="F969" s="5"/>
      <c r="G969" s="5"/>
      <c r="H969" s="5"/>
      <c r="I969" s="5"/>
      <c r="J969" s="5"/>
      <c r="K969" s="5"/>
      <c r="L969" s="46"/>
      <c r="M969" s="1572"/>
      <c r="N969" s="1452"/>
      <c r="O969" s="1452"/>
      <c r="P969" s="1452"/>
      <c r="Q969" s="1452"/>
      <c r="R969" s="1452"/>
      <c r="S969" s="1573"/>
      <c r="U969" s="66" t="s">
        <v>15</v>
      </c>
      <c r="V969" s="5"/>
      <c r="W969" s="5"/>
      <c r="X969" s="5"/>
      <c r="Y969" s="5"/>
      <c r="Z969" s="5"/>
      <c r="AA969" s="5"/>
      <c r="AB969" s="5"/>
      <c r="AC969" s="5"/>
      <c r="AD969" s="46"/>
      <c r="AE969" s="1572"/>
      <c r="AF969" s="1452"/>
      <c r="AG969" s="1452"/>
      <c r="AH969" s="1452"/>
      <c r="AI969" s="1452"/>
      <c r="AJ969" s="1452"/>
      <c r="AK969" s="1573"/>
      <c r="AV969" s="2"/>
      <c r="AW969" s="2"/>
      <c r="AX969" s="2"/>
      <c r="AY969" s="2"/>
      <c r="AZ969" s="34"/>
      <c r="BA969" s="34"/>
      <c r="BB969" s="34"/>
      <c r="BC969" s="34"/>
    </row>
    <row r="970" spans="1:64" ht="12.95" customHeight="1">
      <c r="C970" s="66" t="s">
        <v>16</v>
      </c>
      <c r="D970" s="5"/>
      <c r="E970" s="5"/>
      <c r="F970" s="5"/>
      <c r="G970" s="5"/>
      <c r="H970" s="5"/>
      <c r="I970" s="5"/>
      <c r="J970" s="5"/>
      <c r="K970" s="5"/>
      <c r="L970" s="46"/>
      <c r="M970" s="1572"/>
      <c r="N970" s="1452"/>
      <c r="O970" s="1452"/>
      <c r="P970" s="1452"/>
      <c r="Q970" s="1452"/>
      <c r="R970" s="1452"/>
      <c r="S970" s="1573"/>
      <c r="U970" s="66" t="s">
        <v>16</v>
      </c>
      <c r="V970" s="5"/>
      <c r="W970" s="5"/>
      <c r="X970" s="5"/>
      <c r="Y970" s="5"/>
      <c r="Z970" s="5"/>
      <c r="AA970" s="5"/>
      <c r="AB970" s="5"/>
      <c r="AC970" s="5"/>
      <c r="AD970" s="46"/>
      <c r="AE970" s="1572"/>
      <c r="AF970" s="1452"/>
      <c r="AG970" s="1452"/>
      <c r="AH970" s="1452"/>
      <c r="AI970" s="1452"/>
      <c r="AJ970" s="1452"/>
      <c r="AK970" s="1573"/>
      <c r="AV970" s="2"/>
      <c r="AW970" s="2"/>
      <c r="AX970" s="2"/>
      <c r="AY970" s="2"/>
      <c r="AZ970" s="34"/>
      <c r="BB970" s="34"/>
      <c r="BC970" s="34"/>
    </row>
    <row r="971" spans="1:64" ht="12.95" customHeight="1">
      <c r="C971" s="121" t="s">
        <v>1648</v>
      </c>
      <c r="D971" s="5"/>
      <c r="E971" s="5"/>
      <c r="F971" s="5"/>
      <c r="G971" s="5"/>
      <c r="H971" s="5"/>
      <c r="I971" s="5"/>
      <c r="J971" s="5"/>
      <c r="K971" s="5"/>
      <c r="L971" s="46"/>
      <c r="M971" s="1647"/>
      <c r="N971" s="1648"/>
      <c r="O971" s="1648"/>
      <c r="P971" s="1648"/>
      <c r="Q971" s="1648"/>
      <c r="R971" s="1648"/>
      <c r="S971" s="1649"/>
      <c r="U971" s="121" t="s">
        <v>1648</v>
      </c>
      <c r="V971" s="5"/>
      <c r="W971" s="5"/>
      <c r="X971" s="5"/>
      <c r="Y971" s="5"/>
      <c r="Z971" s="5"/>
      <c r="AA971" s="5"/>
      <c r="AB971" s="5"/>
      <c r="AC971" s="5"/>
      <c r="AD971" s="46"/>
      <c r="AE971" s="1647"/>
      <c r="AF971" s="1648"/>
      <c r="AG971" s="1648"/>
      <c r="AH971" s="1648"/>
      <c r="AI971" s="1648"/>
      <c r="AJ971" s="1648"/>
      <c r="AK971" s="164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14"/>
      <c r="N976" s="1615"/>
      <c r="O976" s="1615"/>
      <c r="P976" s="1615"/>
      <c r="Q976" s="1615"/>
      <c r="R976" s="1615"/>
      <c r="S976" s="1616"/>
      <c r="T976" s="66" t="s">
        <v>789</v>
      </c>
      <c r="U976" s="5"/>
      <c r="V976" s="5"/>
      <c r="W976" s="5"/>
      <c r="X976" s="5"/>
      <c r="Y976" s="5"/>
      <c r="Z976" s="46"/>
      <c r="AA976" s="1614"/>
      <c r="AB976" s="1615"/>
      <c r="AC976" s="1615"/>
      <c r="AD976" s="1615"/>
      <c r="AE976" s="1615"/>
      <c r="AF976" s="1615"/>
      <c r="AG976" s="161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14"/>
      <c r="N977" s="1615"/>
      <c r="O977" s="1615"/>
      <c r="P977" s="1615"/>
      <c r="Q977" s="1615"/>
      <c r="R977" s="1615"/>
      <c r="S977" s="1616"/>
      <c r="T977" s="66" t="s">
        <v>788</v>
      </c>
      <c r="U977" s="5"/>
      <c r="V977" s="5"/>
      <c r="W977" s="5"/>
      <c r="X977" s="5"/>
      <c r="Y977" s="5"/>
      <c r="Z977" s="46"/>
      <c r="AA977" s="1614"/>
      <c r="AB977" s="1615"/>
      <c r="AC977" s="1615"/>
      <c r="AD977" s="1615"/>
      <c r="AE977" s="1615"/>
      <c r="AF977" s="1615"/>
      <c r="AG977" s="161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37" t="s">
        <v>590</v>
      </c>
      <c r="N978" s="1638"/>
      <c r="O978" s="1638"/>
      <c r="P978" s="1638"/>
      <c r="Q978" s="1638"/>
      <c r="R978" s="1638"/>
      <c r="S978" s="1639"/>
      <c r="T978" s="45" t="s">
        <v>337</v>
      </c>
      <c r="U978" s="5"/>
      <c r="V978" s="5"/>
      <c r="W978" s="5"/>
      <c r="X978" s="5"/>
      <c r="Y978" s="5"/>
      <c r="Z978" s="46"/>
      <c r="AA978" s="1614"/>
      <c r="AB978" s="1615"/>
      <c r="AC978" s="1615"/>
      <c r="AD978" s="1615"/>
      <c r="AE978" s="1615"/>
      <c r="AF978" s="1615"/>
      <c r="AG978" s="161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14"/>
      <c r="N979" s="1615"/>
      <c r="O979" s="1615"/>
      <c r="P979" s="1615"/>
      <c r="Q979" s="1615"/>
      <c r="R979" s="1615"/>
      <c r="S979" s="1616"/>
      <c r="T979" s="45" t="s">
        <v>338</v>
      </c>
      <c r="U979" s="5"/>
      <c r="V979" s="5"/>
      <c r="W979" s="5"/>
      <c r="X979" s="5"/>
      <c r="Y979" s="5"/>
      <c r="Z979" s="46"/>
      <c r="AA979" s="1614"/>
      <c r="AB979" s="1615"/>
      <c r="AC979" s="1615"/>
      <c r="AD979" s="1615"/>
      <c r="AE979" s="1615"/>
      <c r="AF979" s="1615"/>
      <c r="AG979" s="161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14"/>
      <c r="N980" s="1615"/>
      <c r="O980" s="1615"/>
      <c r="P980" s="1615"/>
      <c r="Q980" s="1615"/>
      <c r="R980" s="1615"/>
      <c r="S980" s="1616"/>
      <c r="T980" s="45" t="s">
        <v>376</v>
      </c>
      <c r="U980" s="5"/>
      <c r="V980" s="5"/>
      <c r="W980" s="5"/>
      <c r="X980" s="5"/>
      <c r="Y980" s="5"/>
      <c r="Z980" s="46"/>
      <c r="AA980" s="1614"/>
      <c r="AB980" s="1615"/>
      <c r="AC980" s="1615"/>
      <c r="AD980" s="1615"/>
      <c r="AE980" s="1615"/>
      <c r="AF980" s="1615"/>
      <c r="AG980" s="161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659" t="s">
        <v>307</v>
      </c>
      <c r="N981" s="1660"/>
      <c r="O981" s="1660"/>
      <c r="P981" s="1660"/>
      <c r="Q981" s="1660"/>
      <c r="R981" s="1660"/>
      <c r="S981" s="1661"/>
      <c r="T981" s="1742"/>
      <c r="U981" s="1743"/>
      <c r="V981" s="1743"/>
      <c r="W981" s="1743"/>
      <c r="X981" s="1743"/>
      <c r="Y981" s="1743"/>
      <c r="Z981" s="1744"/>
      <c r="AA981" s="1614"/>
      <c r="AB981" s="1615"/>
      <c r="AC981" s="1615"/>
      <c r="AD981" s="1615"/>
      <c r="AE981" s="1615"/>
      <c r="AF981" s="1615"/>
      <c r="AG981" s="161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14"/>
      <c r="N982" s="1615"/>
      <c r="O982" s="1615"/>
      <c r="P982" s="1615"/>
      <c r="Q982" s="1615"/>
      <c r="R982" s="1615"/>
      <c r="S982" s="1616"/>
      <c r="T982" s="1742"/>
      <c r="U982" s="1743"/>
      <c r="V982" s="1743"/>
      <c r="W982" s="1743"/>
      <c r="X982" s="1743"/>
      <c r="Y982" s="1743"/>
      <c r="Z982" s="1744"/>
      <c r="AA982" s="1614"/>
      <c r="AB982" s="1615"/>
      <c r="AC982" s="1615"/>
      <c r="AD982" s="1615"/>
      <c r="AE982" s="1615"/>
      <c r="AF982" s="1615"/>
      <c r="AG982" s="161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21" t="s">
        <v>668</v>
      </c>
      <c r="P983" s="1323"/>
      <c r="Q983" s="92"/>
      <c r="R983" s="92"/>
      <c r="S983" s="93"/>
      <c r="T983" s="41" t="s">
        <v>170</v>
      </c>
      <c r="U983" s="42"/>
      <c r="V983" s="42"/>
      <c r="W983" s="1739" t="s">
        <v>334</v>
      </c>
      <c r="X983" s="1740"/>
      <c r="Y983" s="1740"/>
      <c r="Z983" s="1740"/>
      <c r="AA983" s="1740"/>
      <c r="AB983" s="1740"/>
      <c r="AC983" s="1740"/>
      <c r="AD983" s="1740"/>
      <c r="AE983" s="1740"/>
      <c r="AF983" s="1740"/>
      <c r="AG983" s="1741"/>
      <c r="AU983" s="68"/>
      <c r="AV983" s="95"/>
      <c r="AW983" s="95"/>
      <c r="AX983" s="95"/>
      <c r="AY983" s="95"/>
      <c r="AZ983" s="34"/>
      <c r="BB983" s="34"/>
      <c r="BC983" s="34"/>
      <c r="BD983" s="34"/>
      <c r="BE983" s="34"/>
      <c r="BF983" s="34"/>
      <c r="BG983" s="34"/>
      <c r="BH983" s="34"/>
      <c r="BI983" s="34"/>
      <c r="BJ983" s="34"/>
      <c r="BK983" s="34"/>
      <c r="BL983" s="34"/>
    </row>
    <row r="984" spans="1:64" ht="12.95" customHeight="1">
      <c r="F984" s="1564" t="s">
        <v>33</v>
      </c>
      <c r="G984" s="1389"/>
      <c r="H984" s="1389"/>
      <c r="I984" s="1389"/>
      <c r="J984" s="1389"/>
      <c r="K984" s="1389"/>
      <c r="L984" s="1389"/>
      <c r="M984" s="1614"/>
      <c r="N984" s="1615"/>
      <c r="O984" s="1615"/>
      <c r="P984" s="1615"/>
      <c r="Q984" s="1615"/>
      <c r="R984" s="1615"/>
      <c r="S984" s="1616"/>
      <c r="T984" s="47"/>
      <c r="U984" s="48"/>
      <c r="V984" s="48"/>
      <c r="W984" s="48"/>
      <c r="X984" s="48"/>
      <c r="Y984" s="48"/>
      <c r="Z984" s="124" t="s">
        <v>134</v>
      </c>
      <c r="AA984" s="1692"/>
      <c r="AB984" s="1693"/>
      <c r="AC984" s="1693"/>
      <c r="AD984" s="1693"/>
      <c r="AE984" s="1693"/>
      <c r="AF984" s="1693"/>
      <c r="AG984" s="169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94"/>
      <c r="BH985" s="1594"/>
      <c r="BI985" s="1594"/>
      <c r="BJ985" s="1594"/>
      <c r="BK985" s="1594"/>
      <c r="BL985" s="159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67" t="s">
        <v>547</v>
      </c>
      <c r="B988" s="1467"/>
      <c r="C988" s="1467"/>
      <c r="D988" s="1467"/>
      <c r="E988" s="1467"/>
      <c r="F988" s="1467"/>
      <c r="G988" s="1467"/>
      <c r="H988" s="1467"/>
      <c r="I988" s="1467"/>
      <c r="J988" s="1467"/>
      <c r="K988" s="1467"/>
      <c r="L988" s="1467"/>
      <c r="M988" s="1467"/>
      <c r="N988" s="1467"/>
      <c r="O988" s="1467"/>
      <c r="P988" s="1467"/>
      <c r="Q988" s="1467"/>
      <c r="R988" s="1467"/>
      <c r="S988" s="1467"/>
      <c r="T988" s="1467"/>
      <c r="U988" s="1467"/>
      <c r="V988" s="1467"/>
      <c r="W988" s="1467"/>
      <c r="X988" s="1467"/>
      <c r="Y988" s="1467"/>
      <c r="Z988" s="1467"/>
      <c r="AA988" s="1467"/>
      <c r="AB988" s="1467"/>
      <c r="AC988" s="1467"/>
      <c r="AD988" s="1467"/>
      <c r="AE988" s="1467"/>
      <c r="AF988" s="1467"/>
      <c r="AG988" s="1467"/>
      <c r="AH988" s="1467"/>
      <c r="AI988" s="1467"/>
      <c r="AJ988" s="1467"/>
      <c r="AK988" s="1467"/>
      <c r="AL988" s="1467"/>
      <c r="AM988" s="1467"/>
      <c r="AN988" s="1467"/>
      <c r="AO988" s="1467"/>
      <c r="AP988" s="1467"/>
      <c r="AQ988" s="1467"/>
      <c r="AR988" s="1467"/>
      <c r="AS988" s="1467"/>
      <c r="AT988" s="1467"/>
      <c r="AU988" s="68"/>
      <c r="AV988" s="68"/>
      <c r="AW988" s="68"/>
      <c r="AX988" s="68"/>
      <c r="AY988" s="68"/>
      <c r="AZ988" s="14"/>
      <c r="BA988" s="14"/>
      <c r="BB988" s="908"/>
      <c r="BC988" s="908"/>
    </row>
    <row r="989" spans="1:64" ht="12.95" customHeight="1">
      <c r="A989" s="1467"/>
      <c r="B989" s="1467"/>
      <c r="C989" s="1467"/>
      <c r="D989" s="1467"/>
      <c r="E989" s="1467"/>
      <c r="F989" s="1467"/>
      <c r="G989" s="1467"/>
      <c r="H989" s="1467"/>
      <c r="I989" s="1467"/>
      <c r="J989" s="1467"/>
      <c r="K989" s="1467"/>
      <c r="L989" s="1467"/>
      <c r="M989" s="1467"/>
      <c r="N989" s="1467"/>
      <c r="O989" s="1467"/>
      <c r="P989" s="1467"/>
      <c r="Q989" s="1467"/>
      <c r="R989" s="1467"/>
      <c r="S989" s="1467"/>
      <c r="T989" s="1467"/>
      <c r="U989" s="1467"/>
      <c r="V989" s="1467"/>
      <c r="W989" s="1467"/>
      <c r="X989" s="1467"/>
      <c r="Y989" s="1467"/>
      <c r="Z989" s="1467"/>
      <c r="AA989" s="1467"/>
      <c r="AB989" s="1467"/>
      <c r="AC989" s="1467"/>
      <c r="AD989" s="1467"/>
      <c r="AE989" s="1467"/>
      <c r="AF989" s="1467"/>
      <c r="AG989" s="1467"/>
      <c r="AH989" s="1467"/>
      <c r="AI989" s="1467"/>
      <c r="AJ989" s="1467"/>
      <c r="AK989" s="1467"/>
      <c r="AL989" s="1467"/>
      <c r="AM989" s="1467"/>
      <c r="AN989" s="1467"/>
      <c r="AO989" s="1467"/>
      <c r="AP989" s="1467"/>
      <c r="AQ989" s="1467"/>
      <c r="AR989" s="1467"/>
      <c r="AS989" s="1467"/>
      <c r="AT989" s="1467"/>
      <c r="AU989" s="68"/>
      <c r="AV989" s="68"/>
      <c r="AW989" s="68"/>
      <c r="AX989" s="68"/>
      <c r="AY989" s="68"/>
      <c r="AZ989" s="30"/>
      <c r="BA989" s="14"/>
      <c r="BB989" s="14"/>
      <c r="BC989" s="14"/>
    </row>
    <row r="990" spans="1:64" ht="12.95" customHeight="1">
      <c r="A990" s="1467"/>
      <c r="B990" s="1467"/>
      <c r="C990" s="1467"/>
      <c r="D990" s="1467"/>
      <c r="E990" s="1467"/>
      <c r="F990" s="1467"/>
      <c r="G990" s="1467"/>
      <c r="H990" s="1467"/>
      <c r="I990" s="1467"/>
      <c r="J990" s="1467"/>
      <c r="K990" s="1467"/>
      <c r="L990" s="1467"/>
      <c r="M990" s="1467"/>
      <c r="N990" s="1467"/>
      <c r="O990" s="1467"/>
      <c r="P990" s="1467"/>
      <c r="Q990" s="1467"/>
      <c r="R990" s="1467"/>
      <c r="S990" s="1467"/>
      <c r="T990" s="1467"/>
      <c r="U990" s="1467"/>
      <c r="V990" s="1467"/>
      <c r="W990" s="1467"/>
      <c r="X990" s="1467"/>
      <c r="Y990" s="1467"/>
      <c r="Z990" s="1467"/>
      <c r="AA990" s="1467"/>
      <c r="AB990" s="1467"/>
      <c r="AC990" s="1467"/>
      <c r="AD990" s="1467"/>
      <c r="AE990" s="1467"/>
      <c r="AF990" s="1467"/>
      <c r="AG990" s="1467"/>
      <c r="AH990" s="1467"/>
      <c r="AI990" s="1467"/>
      <c r="AJ990" s="1467"/>
      <c r="AK990" s="1467"/>
      <c r="AL990" s="1467"/>
      <c r="AM990" s="1467"/>
      <c r="AN990" s="1467"/>
      <c r="AO990" s="1467"/>
      <c r="AP990" s="1467"/>
      <c r="AQ990" s="1467"/>
      <c r="AR990" s="1467"/>
      <c r="AS990" s="1467"/>
      <c r="AT990" s="1467"/>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5" t="s">
        <v>637</v>
      </c>
      <c r="E994" s="1736"/>
      <c r="F994" s="1736"/>
      <c r="G994" s="1736"/>
      <c r="H994" s="1736"/>
      <c r="I994" s="1736"/>
      <c r="J994" s="1736"/>
      <c r="K994" s="1736"/>
      <c r="L994" s="1736"/>
      <c r="M994" s="1736"/>
      <c r="N994" s="1736"/>
      <c r="O994" s="1736"/>
      <c r="P994" s="1736"/>
      <c r="Q994" s="1737"/>
      <c r="R994" s="1735" t="s">
        <v>638</v>
      </c>
      <c r="S994" s="1736"/>
      <c r="T994" s="1736"/>
      <c r="U994" s="1736"/>
      <c r="V994" s="1736"/>
      <c r="W994" s="1736"/>
      <c r="X994" s="1736"/>
      <c r="Y994" s="1736"/>
      <c r="Z994" s="1736"/>
      <c r="AA994" s="1737"/>
      <c r="AB994" s="1735" t="s">
        <v>639</v>
      </c>
      <c r="AC994" s="1736"/>
      <c r="AD994" s="1736"/>
      <c r="AE994" s="1736"/>
      <c r="AF994" s="1736"/>
      <c r="AG994" s="1736"/>
      <c r="AH994" s="1736"/>
      <c r="AI994" s="1737"/>
      <c r="AJ994" s="1735" t="s">
        <v>640</v>
      </c>
      <c r="AK994" s="1736"/>
      <c r="AL994" s="1736"/>
      <c r="AM994" s="1736"/>
      <c r="AN994" s="1736"/>
      <c r="AO994" s="1736"/>
      <c r="AP994" s="1736"/>
      <c r="AQ994" s="1737"/>
      <c r="AR994" s="68"/>
      <c r="AS994" s="68"/>
      <c r="AT994" s="68"/>
      <c r="AU994" s="68"/>
      <c r="AV994" s="68"/>
      <c r="AW994" s="68"/>
      <c r="AX994" s="68"/>
      <c r="AY994" s="68"/>
      <c r="AZ994" s="30"/>
      <c r="BB994" s="14"/>
      <c r="BC994" s="14"/>
    </row>
    <row r="995" spans="1:55" ht="12.95" customHeight="1">
      <c r="A995" s="14"/>
      <c r="B995" s="73"/>
      <c r="C995" s="925"/>
      <c r="D995" s="1605" t="s">
        <v>632</v>
      </c>
      <c r="E995" s="1606"/>
      <c r="F995" s="1606"/>
      <c r="G995" s="1606"/>
      <c r="H995" s="1606"/>
      <c r="I995" s="1606"/>
      <c r="J995" s="1606"/>
      <c r="K995" s="1606"/>
      <c r="L995" s="1606"/>
      <c r="M995" s="1606"/>
      <c r="N995" s="1606"/>
      <c r="O995" s="1606"/>
      <c r="P995" s="1606"/>
      <c r="Q995" s="1607"/>
      <c r="R995" s="1658">
        <f>IF(ISNA(IF($CU$122="4%",(INDEX($CS$160:$CW$217,MATCH($DG$122,$CR$160:$CR$217,0),MATCH(D995,$CS$159:$CW$159,0))),(INDEX($CZ$160:$DD$217,MATCH($DG$122,$CY$160:$CY$217,0),MATCH(D995,$CZ$159:$DD$159,0))))),0,IF($CU$122="4%",(INDEX($CS$160:$CW$217,MATCH($DG$122,$CR$160:$CR$217,0),MATCH(D995,$CS$159:$CW$159,0))),(INDEX($CZ$160:$DD$217,MATCH($DG$122,$CY$160:$CY$217,0),MATCH(D995,$CZ$159:$DD$159,0)))))</f>
        <v>437727</v>
      </c>
      <c r="S995" s="1658"/>
      <c r="T995" s="1658"/>
      <c r="U995" s="1658"/>
      <c r="V995" s="1658"/>
      <c r="W995" s="1658"/>
      <c r="X995" s="1658"/>
      <c r="Y995" s="1658"/>
      <c r="Z995" s="1658"/>
      <c r="AA995" s="1658"/>
      <c r="AB995" s="1655">
        <f>CP810</f>
        <v>0</v>
      </c>
      <c r="AC995" s="1656"/>
      <c r="AD995" s="1656"/>
      <c r="AE995" s="1656"/>
      <c r="AF995" s="1656"/>
      <c r="AG995" s="1656"/>
      <c r="AH995" s="1656"/>
      <c r="AI995" s="1657"/>
      <c r="AJ995" s="1631">
        <f>IF(ISERROR((R995*AB995)),0,(R995*AB995))</f>
        <v>0</v>
      </c>
      <c r="AK995" s="1632"/>
      <c r="AL995" s="1632"/>
      <c r="AM995" s="1632"/>
      <c r="AN995" s="1632"/>
      <c r="AO995" s="1632"/>
      <c r="AP995" s="1632"/>
      <c r="AQ995" s="1633"/>
      <c r="AR995" s="68"/>
      <c r="AS995" s="68"/>
      <c r="AT995" s="68"/>
      <c r="AU995" s="68"/>
      <c r="AV995" s="68"/>
      <c r="AW995" s="68"/>
      <c r="AX995" s="68"/>
      <c r="AY995" s="68"/>
      <c r="AZ995" s="30"/>
      <c r="BB995" s="14"/>
      <c r="BC995" s="14"/>
    </row>
    <row r="996" spans="1:55" ht="12.95" customHeight="1">
      <c r="A996" s="14"/>
      <c r="B996" s="73"/>
      <c r="C996" s="83"/>
      <c r="D996" s="1605" t="s">
        <v>325</v>
      </c>
      <c r="E996" s="1606"/>
      <c r="F996" s="1606"/>
      <c r="G996" s="1606"/>
      <c r="H996" s="1606"/>
      <c r="I996" s="1606"/>
      <c r="J996" s="1606"/>
      <c r="K996" s="1606"/>
      <c r="L996" s="1606"/>
      <c r="M996" s="1606"/>
      <c r="N996" s="1606"/>
      <c r="O996" s="1606"/>
      <c r="P996" s="1606"/>
      <c r="Q996" s="1607"/>
      <c r="R996" s="1658">
        <f>IF(ISNA(IF($CU$122="4%",(INDEX($CS$160:$CW$217,MATCH($DG$122,$CR$160:$CR$217,0),MATCH(D996,$CS$159:$CW$159,0))),(INDEX($CZ$160:$DD$217,MATCH($DG$122,$CY$160:$CY$217,0),MATCH(D996,$CZ$159:$DD$159,0))))),0,IF($CU$122="4%",(INDEX($CS$160:$CW$217,MATCH($DG$122,$CR$160:$CR$217,0),MATCH(D996,$CS$159:$CW$159,0))),(INDEX($CZ$160:$DD$217,MATCH($DG$122,$CY$160:$CY$217,0),MATCH(D996,$CZ$159:$DD$159,0)))))</f>
        <v>504695</v>
      </c>
      <c r="S996" s="1658"/>
      <c r="T996" s="1658"/>
      <c r="U996" s="1658"/>
      <c r="V996" s="1658"/>
      <c r="W996" s="1658"/>
      <c r="X996" s="1658"/>
      <c r="Y996" s="1658"/>
      <c r="Z996" s="1658"/>
      <c r="AA996" s="1658"/>
      <c r="AB996" s="1655">
        <f>CU810</f>
        <v>61</v>
      </c>
      <c r="AC996" s="1656"/>
      <c r="AD996" s="1656"/>
      <c r="AE996" s="1656"/>
      <c r="AF996" s="1656"/>
      <c r="AG996" s="1656"/>
      <c r="AH996" s="1656"/>
      <c r="AI996" s="1657"/>
      <c r="AJ996" s="1631">
        <f>IF(ISERROR((R996*AB996)),0,(R996*AB996))</f>
        <v>30786395</v>
      </c>
      <c r="AK996" s="1632"/>
      <c r="AL996" s="1632"/>
      <c r="AM996" s="1632"/>
      <c r="AN996" s="1632"/>
      <c r="AO996" s="1632"/>
      <c r="AP996" s="1632"/>
      <c r="AQ996" s="1633"/>
      <c r="AR996" s="68"/>
      <c r="AS996" s="68"/>
      <c r="AT996" s="68"/>
      <c r="AU996" s="68"/>
      <c r="AV996" s="68"/>
      <c r="AW996" s="68"/>
      <c r="AX996" s="68"/>
      <c r="AY996" s="68"/>
      <c r="AZ996" s="30"/>
      <c r="BB996" s="14"/>
      <c r="BC996" s="14"/>
    </row>
    <row r="997" spans="1:55" ht="12.95" customHeight="1">
      <c r="A997" s="14"/>
      <c r="B997" s="73"/>
      <c r="C997" s="83"/>
      <c r="D997" s="1605" t="s">
        <v>163</v>
      </c>
      <c r="E997" s="1606"/>
      <c r="F997" s="1606"/>
      <c r="G997" s="1606"/>
      <c r="H997" s="1606"/>
      <c r="I997" s="1606"/>
      <c r="J997" s="1606"/>
      <c r="K997" s="1606"/>
      <c r="L997" s="1606"/>
      <c r="M997" s="1606"/>
      <c r="N997" s="1606"/>
      <c r="O997" s="1606"/>
      <c r="P997" s="1606"/>
      <c r="Q997" s="1607"/>
      <c r="R997" s="1658">
        <f>IF(ISNA(IF($CU$122="4%",(INDEX($CS$160:$CW$217,MATCH($DG$122,$CR$160:$CR$217,0),MATCH(D997,$CS$159:$CW$159,0))),(INDEX($CZ$160:$DD$217,MATCH($DG$122,$CY$160:$CY$217,0),MATCH(D997,$CZ$159:$DD$159,0))))),0,IF($CU$122="4%",(INDEX($CS$160:$CW$217,MATCH($DG$122,$CR$160:$CR$217,0),MATCH(D997,$CS$159:$CW$159,0))),(INDEX($CZ$160:$DD$217,MATCH($DG$122,$CY$160:$CY$217,0),MATCH(D997,$CZ$159:$DD$159,0)))))</f>
        <v>608800</v>
      </c>
      <c r="S997" s="1658"/>
      <c r="T997" s="1658"/>
      <c r="U997" s="1658"/>
      <c r="V997" s="1658"/>
      <c r="W997" s="1658"/>
      <c r="X997" s="1658"/>
      <c r="Y997" s="1658"/>
      <c r="Z997" s="1658"/>
      <c r="AA997" s="1658"/>
      <c r="AB997" s="1655">
        <f>CZ810</f>
        <v>49</v>
      </c>
      <c r="AC997" s="1656"/>
      <c r="AD997" s="1656"/>
      <c r="AE997" s="1656"/>
      <c r="AF997" s="1656"/>
      <c r="AG997" s="1656"/>
      <c r="AH997" s="1656"/>
      <c r="AI997" s="1657"/>
      <c r="AJ997" s="1631">
        <f>IF(ISERROR((R997*AB997)),0,(R997*AB997))</f>
        <v>29831200</v>
      </c>
      <c r="AK997" s="1632"/>
      <c r="AL997" s="1632"/>
      <c r="AM997" s="1632"/>
      <c r="AN997" s="1632"/>
      <c r="AO997" s="1632"/>
      <c r="AP997" s="1632"/>
      <c r="AQ997" s="1633"/>
      <c r="AR997" s="68"/>
      <c r="AS997" s="68"/>
      <c r="AT997" s="68"/>
      <c r="AU997" s="68"/>
      <c r="AV997" s="68"/>
      <c r="AW997" s="68"/>
      <c r="AX997" s="68"/>
      <c r="AY997" s="68"/>
      <c r="AZ997" s="30"/>
      <c r="BB997" s="14"/>
      <c r="BC997" s="14"/>
    </row>
    <row r="998" spans="1:55" ht="12.95" customHeight="1">
      <c r="A998" s="14"/>
      <c r="B998" s="73"/>
      <c r="C998" s="83"/>
      <c r="D998" s="1605" t="s">
        <v>164</v>
      </c>
      <c r="E998" s="1606"/>
      <c r="F998" s="1606"/>
      <c r="G998" s="1606"/>
      <c r="H998" s="1606"/>
      <c r="I998" s="1606"/>
      <c r="J998" s="1606"/>
      <c r="K998" s="1606"/>
      <c r="L998" s="1606"/>
      <c r="M998" s="1606"/>
      <c r="N998" s="1606"/>
      <c r="O998" s="1606"/>
      <c r="P998" s="1606"/>
      <c r="Q998" s="1607"/>
      <c r="R998" s="1658">
        <f>IF(ISNA(IF($CU$122="4%",(INDEX($CS$160:$CW$217,MATCH($DG$122,$CR$160:$CR$217,0),MATCH(D998,$CS$159:$CW$159,0))),(INDEX($CZ$160:$DD$217,MATCH($DG$122,$CY$160:$CY$217,0),MATCH(D998,$CZ$159:$DD$159,0))))),0,IF($CU$122="4%",(INDEX($CS$160:$CW$217,MATCH($DG$122,$CR$160:$CR$217,0),MATCH(D998,$CS$159:$CW$159,0))),(INDEX($CZ$160:$DD$217,MATCH($DG$122,$CY$160:$CY$217,0),MATCH(D998,$CZ$159:$DD$159,0)))))</f>
        <v>779264</v>
      </c>
      <c r="S998" s="1658"/>
      <c r="T998" s="1658"/>
      <c r="U998" s="1658"/>
      <c r="V998" s="1658"/>
      <c r="W998" s="1658"/>
      <c r="X998" s="1658"/>
      <c r="Y998" s="1658"/>
      <c r="Z998" s="1658"/>
      <c r="AA998" s="1658"/>
      <c r="AB998" s="1655">
        <f>DE810</f>
        <v>44</v>
      </c>
      <c r="AC998" s="1656"/>
      <c r="AD998" s="1656"/>
      <c r="AE998" s="1656"/>
      <c r="AF998" s="1656"/>
      <c r="AG998" s="1656"/>
      <c r="AH998" s="1656"/>
      <c r="AI998" s="1657"/>
      <c r="AJ998" s="1631">
        <f>IF(ISERROR((R998*AB998)),0,(R998*AB998))</f>
        <v>34287616</v>
      </c>
      <c r="AK998" s="1632"/>
      <c r="AL998" s="1632"/>
      <c r="AM998" s="1632"/>
      <c r="AN998" s="1632"/>
      <c r="AO998" s="1632"/>
      <c r="AP998" s="1632"/>
      <c r="AQ998" s="1633"/>
      <c r="AR998" s="68"/>
      <c r="AS998" s="68"/>
      <c r="AT998" s="68"/>
      <c r="AU998" s="68"/>
      <c r="AV998" s="68"/>
      <c r="AW998" s="68"/>
      <c r="AX998" s="68"/>
      <c r="AY998" s="68"/>
      <c r="AZ998" s="30"/>
      <c r="BA998" s="34"/>
      <c r="BB998" s="14"/>
      <c r="BC998" s="14"/>
    </row>
    <row r="999" spans="1:55" ht="12.95" customHeight="1">
      <c r="A999" s="14"/>
      <c r="B999" s="47"/>
      <c r="C999" s="78"/>
      <c r="D999" s="1605" t="s">
        <v>459</v>
      </c>
      <c r="E999" s="1606"/>
      <c r="F999" s="1606"/>
      <c r="G999" s="1606"/>
      <c r="H999" s="1606"/>
      <c r="I999" s="1606"/>
      <c r="J999" s="1606"/>
      <c r="K999" s="1606"/>
      <c r="L999" s="1606"/>
      <c r="M999" s="1606"/>
      <c r="N999" s="1606"/>
      <c r="O999" s="1606"/>
      <c r="P999" s="1606"/>
      <c r="Q999" s="1607"/>
      <c r="R999" s="1658">
        <f>IF(ISNA(IF($CU$122="4%",(INDEX($CS$160:$CW$217,MATCH($DG$122,$CR$160:$CR$217,0),MATCH(D999,$CS$159:$CW$159,0))),(INDEX($CZ$160:$DD$217,MATCH($DG$122,$CY$160:$CY$217,0),MATCH(D999,$CZ$159:$DD$159,0))))),0,IF($CU$122="4%",(INDEX($CS$160:$CW$217,MATCH($DG$122,$CR$160:$CR$217,0),MATCH(D999,$CS$159:$CW$159,0))),(INDEX($CZ$160:$DD$217,MATCH($DG$122,$CY$160:$CY$217,0),MATCH(D999,$CZ$159:$DD$159,0)))))</f>
        <v>868149</v>
      </c>
      <c r="S999" s="1658"/>
      <c r="T999" s="1658"/>
      <c r="U999" s="1658"/>
      <c r="V999" s="1658"/>
      <c r="W999" s="1658"/>
      <c r="X999" s="1658"/>
      <c r="Y999" s="1658"/>
      <c r="Z999" s="1658"/>
      <c r="AA999" s="1658"/>
      <c r="AB999" s="1655">
        <f>DO810+DJ810</f>
        <v>0</v>
      </c>
      <c r="AC999" s="1656"/>
      <c r="AD999" s="1656"/>
      <c r="AE999" s="1656"/>
      <c r="AF999" s="1656"/>
      <c r="AG999" s="1656"/>
      <c r="AH999" s="1656"/>
      <c r="AI999" s="1657"/>
      <c r="AJ999" s="1631">
        <f>IF(ISERROR((R999*AB999)),0,(R999*AB999))</f>
        <v>0</v>
      </c>
      <c r="AK999" s="1632"/>
      <c r="AL999" s="1632"/>
      <c r="AM999" s="1632"/>
      <c r="AN999" s="1632"/>
      <c r="AO999" s="1632"/>
      <c r="AP999" s="1632"/>
      <c r="AQ999" s="1633"/>
      <c r="AR999" s="68"/>
      <c r="AS999" s="68"/>
      <c r="AT999" s="68"/>
      <c r="AU999" s="68"/>
      <c r="AV999" s="68"/>
      <c r="AW999" s="68"/>
      <c r="AX999" s="68"/>
      <c r="AY999" s="68"/>
      <c r="AZ999" s="30"/>
      <c r="BB999" s="14"/>
      <c r="BC999" s="14"/>
    </row>
    <row r="1000" spans="1:55" ht="12.95" customHeight="1">
      <c r="A1000" s="14"/>
      <c r="B1000" s="1686" t="s">
        <v>790</v>
      </c>
      <c r="C1000" s="1687"/>
      <c r="D1000" s="1687"/>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8"/>
      <c r="AB1000" s="1655">
        <f>SUM(AB995:AI999)</f>
        <v>154</v>
      </c>
      <c r="AC1000" s="1656"/>
      <c r="AD1000" s="1656"/>
      <c r="AE1000" s="1656"/>
      <c r="AF1000" s="1656"/>
      <c r="AG1000" s="1656"/>
      <c r="AH1000" s="1656"/>
      <c r="AI1000" s="1657"/>
      <c r="AJ1000" s="1631"/>
      <c r="AK1000" s="1632"/>
      <c r="AL1000" s="1632"/>
      <c r="AM1000" s="1632"/>
      <c r="AN1000" s="1632"/>
      <c r="AO1000" s="1632"/>
      <c r="AP1000" s="1632"/>
      <c r="AQ1000" s="1633"/>
      <c r="AR1000" s="68"/>
      <c r="AS1000" s="68"/>
      <c r="AT1000" s="68"/>
      <c r="AU1000" s="68"/>
      <c r="AV1000" s="68"/>
      <c r="AW1000" s="68"/>
      <c r="AX1000" s="68"/>
      <c r="AY1000" s="68"/>
      <c r="AZ1000" s="34"/>
      <c r="BA1000" s="34"/>
      <c r="BB1000" s="14"/>
      <c r="BC1000" s="14"/>
    </row>
    <row r="1001" spans="1:55" ht="12.95" customHeight="1">
      <c r="A1001" s="14"/>
      <c r="B1001" s="1680" t="s">
        <v>511</v>
      </c>
      <c r="C1001" s="1681"/>
      <c r="D1001" s="1681"/>
      <c r="E1001" s="1681"/>
      <c r="F1001" s="1681"/>
      <c r="G1001" s="1681"/>
      <c r="H1001" s="1681"/>
      <c r="I1001" s="1681"/>
      <c r="J1001" s="1681"/>
      <c r="K1001" s="1681"/>
      <c r="L1001" s="1681"/>
      <c r="M1001" s="1681"/>
      <c r="N1001" s="1681"/>
      <c r="O1001" s="1681"/>
      <c r="P1001" s="1681"/>
      <c r="Q1001" s="1681"/>
      <c r="R1001" s="1681"/>
      <c r="S1001" s="1681"/>
      <c r="T1001" s="1681"/>
      <c r="U1001" s="1681"/>
      <c r="V1001" s="1681"/>
      <c r="W1001" s="1681"/>
      <c r="X1001" s="1681"/>
      <c r="Y1001" s="1681"/>
      <c r="Z1001" s="1681"/>
      <c r="AA1001" s="1681"/>
      <c r="AB1001" s="1681"/>
      <c r="AC1001" s="1681"/>
      <c r="AD1001" s="1681"/>
      <c r="AE1001" s="1681"/>
      <c r="AF1001" s="1681"/>
      <c r="AG1001" s="1681"/>
      <c r="AH1001" s="1681"/>
      <c r="AI1001" s="1682"/>
      <c r="AJ1001" s="1631">
        <f>SUM(AJ995:AQ999)</f>
        <v>94905211</v>
      </c>
      <c r="AK1001" s="1632"/>
      <c r="AL1001" s="1632"/>
      <c r="AM1001" s="1632"/>
      <c r="AN1001" s="1632"/>
      <c r="AO1001" s="1632"/>
      <c r="AP1001" s="1632"/>
      <c r="AQ1001" s="1633"/>
      <c r="AR1001" s="68"/>
      <c r="AS1001" s="68"/>
      <c r="AT1001" s="68"/>
      <c r="AU1001" s="68"/>
      <c r="AV1001" s="68"/>
      <c r="AW1001" s="68"/>
      <c r="AX1001" s="68"/>
      <c r="AY1001" s="68"/>
      <c r="AZ1001" s="34"/>
      <c r="BB1001" s="34"/>
      <c r="BC1001" s="34"/>
    </row>
    <row r="1002" spans="1:55" ht="12.95" customHeight="1">
      <c r="A1002" s="14"/>
      <c r="B1002" s="1677"/>
      <c r="C1002" s="1678"/>
      <c r="D1002" s="1678"/>
      <c r="E1002" s="1678"/>
      <c r="F1002" s="1678"/>
      <c r="G1002" s="1678"/>
      <c r="H1002" s="1678"/>
      <c r="I1002" s="1678"/>
      <c r="J1002" s="1678"/>
      <c r="K1002" s="1678"/>
      <c r="L1002" s="1678"/>
      <c r="M1002" s="1678"/>
      <c r="N1002" s="1678"/>
      <c r="O1002" s="1678"/>
      <c r="P1002" s="1678"/>
      <c r="Q1002" s="1678"/>
      <c r="R1002" s="1678"/>
      <c r="S1002" s="1678"/>
      <c r="T1002" s="1678"/>
      <c r="U1002" s="1678"/>
      <c r="V1002" s="1678"/>
      <c r="W1002" s="1678"/>
      <c r="X1002" s="1678"/>
      <c r="Y1002" s="1678"/>
      <c r="Z1002" s="1678"/>
      <c r="AA1002" s="1678"/>
      <c r="AB1002" s="1678"/>
      <c r="AC1002" s="1678"/>
      <c r="AD1002" s="1678"/>
      <c r="AE1002" s="1679"/>
      <c r="AF1002" s="1695" t="s">
        <v>665</v>
      </c>
      <c r="AG1002" s="1696"/>
      <c r="AH1002" s="1696"/>
      <c r="AI1002" s="1697"/>
      <c r="AJ1002" s="1677"/>
      <c r="AK1002" s="1678"/>
      <c r="AL1002" s="1678"/>
      <c r="AM1002" s="1678"/>
      <c r="AN1002" s="1678"/>
      <c r="AO1002" s="1678"/>
      <c r="AP1002" s="1678"/>
      <c r="AQ1002" s="1679"/>
      <c r="AR1002" s="68"/>
      <c r="AS1002" s="68"/>
      <c r="AT1002" s="68"/>
      <c r="AU1002" s="68"/>
      <c r="AV1002" s="68"/>
      <c r="AW1002" s="68"/>
      <c r="AX1002" s="68"/>
      <c r="AY1002" s="68"/>
      <c r="AZ1002" s="34"/>
      <c r="BA1002" s="34"/>
      <c r="BB1002" s="34"/>
      <c r="BC1002" s="34"/>
    </row>
    <row r="1003" spans="1:55" ht="12.95" customHeight="1">
      <c r="A1003" s="14"/>
      <c r="B1003" s="73"/>
      <c r="C1003" s="923" t="s">
        <v>667</v>
      </c>
      <c r="D1003" s="1683" t="s">
        <v>1218</v>
      </c>
      <c r="E1003" s="1684"/>
      <c r="F1003" s="1684"/>
      <c r="G1003" s="1684"/>
      <c r="H1003" s="1684"/>
      <c r="I1003" s="1684"/>
      <c r="J1003" s="1684"/>
      <c r="K1003" s="1684"/>
      <c r="L1003" s="1684"/>
      <c r="M1003" s="1684"/>
      <c r="N1003" s="1684"/>
      <c r="O1003" s="1684"/>
      <c r="P1003" s="1684"/>
      <c r="Q1003" s="1684"/>
      <c r="R1003" s="1684"/>
      <c r="S1003" s="1684"/>
      <c r="T1003" s="1684"/>
      <c r="U1003" s="1684"/>
      <c r="V1003" s="1684"/>
      <c r="W1003" s="1684"/>
      <c r="X1003" s="1684"/>
      <c r="Y1003" s="1684"/>
      <c r="Z1003" s="1684"/>
      <c r="AA1003" s="1684"/>
      <c r="AB1003" s="1684"/>
      <c r="AC1003" s="1684"/>
      <c r="AD1003" s="1684"/>
      <c r="AE1003" s="1685"/>
      <c r="AF1003" s="79"/>
      <c r="AG1003" s="1698" t="s">
        <v>668</v>
      </c>
      <c r="AH1003" s="1699"/>
      <c r="AI1003" s="87"/>
      <c r="AJ1003" s="1662">
        <f>ROUND(IF(AND(AG1003="yes",D1009&gt;0),AJ1001*0.2,0),0)</f>
        <v>0</v>
      </c>
      <c r="AK1003" s="1663"/>
      <c r="AL1003" s="1663"/>
      <c r="AM1003" s="1663"/>
      <c r="AN1003" s="1663"/>
      <c r="AO1003" s="1663"/>
      <c r="AP1003" s="1663"/>
      <c r="AQ1003" s="1664"/>
      <c r="AR1003" s="68"/>
      <c r="AS1003" s="68"/>
      <c r="AT1003" s="68"/>
      <c r="AU1003" s="68"/>
      <c r="AV1003" s="68"/>
      <c r="AW1003" s="68"/>
      <c r="AX1003" s="68"/>
      <c r="AY1003" s="68"/>
      <c r="AZ1003" s="34"/>
      <c r="BA1003" s="34"/>
      <c r="BB1003" s="34"/>
      <c r="BC1003" s="34"/>
    </row>
    <row r="1004" spans="1:55" ht="12.95" customHeight="1">
      <c r="A1004" s="14"/>
      <c r="B1004" s="257"/>
      <c r="C1004" s="256"/>
      <c r="D1004" s="1716" t="s">
        <v>2186</v>
      </c>
      <c r="E1004" s="1717"/>
      <c r="F1004" s="1717"/>
      <c r="G1004" s="1717"/>
      <c r="H1004" s="1717"/>
      <c r="I1004" s="1717"/>
      <c r="J1004" s="1717"/>
      <c r="K1004" s="1717"/>
      <c r="L1004" s="1717"/>
      <c r="M1004" s="1717"/>
      <c r="N1004" s="1717"/>
      <c r="O1004" s="1717"/>
      <c r="P1004" s="1717"/>
      <c r="Q1004" s="1717"/>
      <c r="R1004" s="1717"/>
      <c r="S1004" s="1717"/>
      <c r="T1004" s="1717"/>
      <c r="U1004" s="1717"/>
      <c r="V1004" s="1717"/>
      <c r="W1004" s="1717"/>
      <c r="X1004" s="1717"/>
      <c r="Y1004" s="1717"/>
      <c r="Z1004" s="1717"/>
      <c r="AA1004" s="1717"/>
      <c r="AB1004" s="1717"/>
      <c r="AC1004" s="1717"/>
      <c r="AD1004" s="1717"/>
      <c r="AE1004" s="1718"/>
      <c r="AF1004" s="73"/>
      <c r="AG1004" s="14"/>
      <c r="AH1004" s="14"/>
      <c r="AI1004" s="83"/>
      <c r="AJ1004" s="1665"/>
      <c r="AK1004" s="1666"/>
      <c r="AL1004" s="1666"/>
      <c r="AM1004" s="1666"/>
      <c r="AN1004" s="1666"/>
      <c r="AO1004" s="1666"/>
      <c r="AP1004" s="1666"/>
      <c r="AQ1004" s="1667"/>
      <c r="AR1004" s="68"/>
      <c r="AS1004" s="68"/>
      <c r="AT1004" s="68"/>
      <c r="AU1004" s="68"/>
      <c r="AV1004" s="68"/>
      <c r="AW1004" s="68"/>
      <c r="AX1004" s="68"/>
      <c r="AY1004" s="68"/>
      <c r="AZ1004" s="34"/>
      <c r="BA1004" s="34"/>
      <c r="BB1004" s="34"/>
      <c r="BC1004" s="34"/>
    </row>
    <row r="1005" spans="1:55" ht="12.95" customHeight="1">
      <c r="A1005" s="14"/>
      <c r="B1005" s="257"/>
      <c r="C1005" s="256"/>
      <c r="D1005" s="1716"/>
      <c r="E1005" s="1717"/>
      <c r="F1005" s="1717"/>
      <c r="G1005" s="1717"/>
      <c r="H1005" s="1717"/>
      <c r="I1005" s="1717"/>
      <c r="J1005" s="1717"/>
      <c r="K1005" s="1717"/>
      <c r="L1005" s="1717"/>
      <c r="M1005" s="1717"/>
      <c r="N1005" s="1717"/>
      <c r="O1005" s="1717"/>
      <c r="P1005" s="1717"/>
      <c r="Q1005" s="1717"/>
      <c r="R1005" s="1717"/>
      <c r="S1005" s="1717"/>
      <c r="T1005" s="1717"/>
      <c r="U1005" s="1717"/>
      <c r="V1005" s="1717"/>
      <c r="W1005" s="1717"/>
      <c r="X1005" s="1717"/>
      <c r="Y1005" s="1717"/>
      <c r="Z1005" s="1717"/>
      <c r="AA1005" s="1717"/>
      <c r="AB1005" s="1717"/>
      <c r="AC1005" s="1717"/>
      <c r="AD1005" s="1717"/>
      <c r="AE1005" s="1718"/>
      <c r="AF1005" s="73"/>
      <c r="AG1005" s="14"/>
      <c r="AH1005" s="14"/>
      <c r="AI1005" s="83"/>
      <c r="AJ1005" s="1665"/>
      <c r="AK1005" s="1666"/>
      <c r="AL1005" s="1666"/>
      <c r="AM1005" s="1666"/>
      <c r="AN1005" s="1666"/>
      <c r="AO1005" s="1666"/>
      <c r="AP1005" s="1666"/>
      <c r="AQ1005" s="1667"/>
      <c r="AR1005" s="68"/>
      <c r="AS1005" s="68"/>
      <c r="AT1005" s="68"/>
      <c r="AU1005" s="68"/>
      <c r="AV1005" s="68"/>
      <c r="AW1005" s="68"/>
      <c r="AX1005" s="68"/>
      <c r="AY1005" s="68"/>
      <c r="AZ1005" s="34"/>
      <c r="BA1005" s="34"/>
      <c r="BB1005" s="34"/>
      <c r="BC1005" s="34"/>
    </row>
    <row r="1006" spans="1:55" ht="12.95" customHeight="1">
      <c r="A1006" s="14"/>
      <c r="B1006" s="257"/>
      <c r="C1006" s="256"/>
      <c r="D1006" s="1716"/>
      <c r="E1006" s="1717"/>
      <c r="F1006" s="1717"/>
      <c r="G1006" s="1717"/>
      <c r="H1006" s="1717"/>
      <c r="I1006" s="1717"/>
      <c r="J1006" s="1717"/>
      <c r="K1006" s="1717"/>
      <c r="L1006" s="1717"/>
      <c r="M1006" s="1717"/>
      <c r="N1006" s="1717"/>
      <c r="O1006" s="1717"/>
      <c r="P1006" s="1717"/>
      <c r="Q1006" s="1717"/>
      <c r="R1006" s="1717"/>
      <c r="S1006" s="1717"/>
      <c r="T1006" s="1717"/>
      <c r="U1006" s="1717"/>
      <c r="V1006" s="1717"/>
      <c r="W1006" s="1717"/>
      <c r="X1006" s="1717"/>
      <c r="Y1006" s="1717"/>
      <c r="Z1006" s="1717"/>
      <c r="AA1006" s="1717"/>
      <c r="AB1006" s="1717"/>
      <c r="AC1006" s="1717"/>
      <c r="AD1006" s="1717"/>
      <c r="AE1006" s="1718"/>
      <c r="AF1006" s="73"/>
      <c r="AG1006" s="14"/>
      <c r="AH1006" s="14"/>
      <c r="AI1006" s="83"/>
      <c r="AJ1006" s="1665"/>
      <c r="AK1006" s="1666"/>
      <c r="AL1006" s="1666"/>
      <c r="AM1006" s="1666"/>
      <c r="AN1006" s="1666"/>
      <c r="AO1006" s="1666"/>
      <c r="AP1006" s="1666"/>
      <c r="AQ1006" s="1667"/>
      <c r="AR1006" s="68"/>
      <c r="AS1006" s="68"/>
      <c r="AT1006" s="68"/>
      <c r="AU1006" s="68"/>
      <c r="AV1006" s="68"/>
      <c r="AW1006" s="68"/>
      <c r="AX1006" s="68"/>
      <c r="AY1006" s="68"/>
      <c r="AZ1006" s="34"/>
      <c r="BA1006" s="34"/>
      <c r="BB1006" s="34"/>
      <c r="BC1006" s="34"/>
    </row>
    <row r="1007" spans="1:55" ht="12.95" customHeight="1">
      <c r="A1007" s="14"/>
      <c r="B1007" s="257"/>
      <c r="C1007" s="256"/>
      <c r="D1007" s="1716"/>
      <c r="E1007" s="1717"/>
      <c r="F1007" s="1717"/>
      <c r="G1007" s="1717"/>
      <c r="H1007" s="1717"/>
      <c r="I1007" s="1717"/>
      <c r="J1007" s="1717"/>
      <c r="K1007" s="1717"/>
      <c r="L1007" s="1717"/>
      <c r="M1007" s="1717"/>
      <c r="N1007" s="1717"/>
      <c r="O1007" s="1717"/>
      <c r="P1007" s="1717"/>
      <c r="Q1007" s="1717"/>
      <c r="R1007" s="1717"/>
      <c r="S1007" s="1717"/>
      <c r="T1007" s="1717"/>
      <c r="U1007" s="1717"/>
      <c r="V1007" s="1717"/>
      <c r="W1007" s="1717"/>
      <c r="X1007" s="1717"/>
      <c r="Y1007" s="1717"/>
      <c r="Z1007" s="1717"/>
      <c r="AA1007" s="1717"/>
      <c r="AB1007" s="1717"/>
      <c r="AC1007" s="1717"/>
      <c r="AD1007" s="1717"/>
      <c r="AE1007" s="1718"/>
      <c r="AF1007" s="73"/>
      <c r="AG1007" s="14"/>
      <c r="AH1007" s="14"/>
      <c r="AI1007" s="83"/>
      <c r="AJ1007" s="1665"/>
      <c r="AK1007" s="1666"/>
      <c r="AL1007" s="1666"/>
      <c r="AM1007" s="1666"/>
      <c r="AN1007" s="1666"/>
      <c r="AO1007" s="1666"/>
      <c r="AP1007" s="1666"/>
      <c r="AQ1007" s="1667"/>
      <c r="AR1007" s="68"/>
      <c r="AS1007" s="68"/>
      <c r="AT1007" s="68"/>
      <c r="AU1007" s="68"/>
      <c r="AV1007" s="68"/>
      <c r="AW1007" s="68"/>
      <c r="AX1007" s="68"/>
      <c r="AY1007" s="68"/>
      <c r="AZ1007" s="34"/>
      <c r="BA1007" s="34"/>
      <c r="BB1007" s="34"/>
      <c r="BC1007" s="34"/>
    </row>
    <row r="1008" spans="1:55" ht="12.95" customHeight="1">
      <c r="A1008" s="14"/>
      <c r="B1008" s="257"/>
      <c r="C1008" s="256"/>
      <c r="D1008" s="1689" t="s">
        <v>2157</v>
      </c>
      <c r="E1008" s="1690"/>
      <c r="F1008" s="1690"/>
      <c r="G1008" s="1690"/>
      <c r="H1008" s="1690"/>
      <c r="I1008" s="1690"/>
      <c r="J1008" s="1690"/>
      <c r="K1008" s="1690"/>
      <c r="L1008" s="1690"/>
      <c r="M1008" s="1690"/>
      <c r="N1008" s="1690"/>
      <c r="O1008" s="1690"/>
      <c r="P1008" s="1690"/>
      <c r="Q1008" s="1690"/>
      <c r="R1008" s="1690"/>
      <c r="S1008" s="1690"/>
      <c r="T1008" s="1690"/>
      <c r="U1008" s="1690"/>
      <c r="V1008" s="1690"/>
      <c r="W1008" s="1690"/>
      <c r="X1008" s="1690"/>
      <c r="Y1008" s="1690"/>
      <c r="Z1008" s="1690"/>
      <c r="AA1008" s="1690"/>
      <c r="AB1008" s="1690"/>
      <c r="AC1008" s="1690"/>
      <c r="AD1008" s="1690"/>
      <c r="AE1008" s="1691"/>
      <c r="AF1008" s="73"/>
      <c r="AG1008" s="14"/>
      <c r="AH1008" s="14"/>
      <c r="AI1008" s="83"/>
      <c r="AJ1008" s="1665"/>
      <c r="AK1008" s="1666"/>
      <c r="AL1008" s="1666"/>
      <c r="AM1008" s="1666"/>
      <c r="AN1008" s="1666"/>
      <c r="AO1008" s="1666"/>
      <c r="AP1008" s="1666"/>
      <c r="AQ1008" s="1667"/>
      <c r="AR1008" s="68"/>
      <c r="AS1008" s="68"/>
      <c r="AT1008" s="68"/>
      <c r="AU1008" s="68"/>
      <c r="AV1008" s="68"/>
      <c r="AW1008" s="68"/>
      <c r="AX1008" s="68"/>
      <c r="AY1008" s="68"/>
      <c r="AZ1008" s="34"/>
      <c r="BA1008" s="34"/>
      <c r="BB1008" s="34"/>
      <c r="BC1008" s="34"/>
    </row>
    <row r="1009" spans="1:55" ht="12.95" customHeight="1">
      <c r="A1009" s="14"/>
      <c r="B1009" s="257"/>
      <c r="C1009" s="256"/>
      <c r="D1009" s="1798"/>
      <c r="E1009" s="1799"/>
      <c r="F1009" s="1799"/>
      <c r="G1009" s="1799"/>
      <c r="H1009" s="1799"/>
      <c r="I1009" s="1799"/>
      <c r="J1009" s="1799"/>
      <c r="K1009" s="1799"/>
      <c r="L1009" s="1799"/>
      <c r="M1009" s="1799"/>
      <c r="N1009" s="1799"/>
      <c r="O1009" s="1799"/>
      <c r="P1009" s="1799"/>
      <c r="Q1009" s="1799"/>
      <c r="R1009" s="1799"/>
      <c r="S1009" s="1799"/>
      <c r="T1009" s="1799"/>
      <c r="U1009" s="1799"/>
      <c r="V1009" s="1799"/>
      <c r="W1009" s="1799"/>
      <c r="X1009" s="1799"/>
      <c r="Y1009" s="1799"/>
      <c r="Z1009" s="1799"/>
      <c r="AA1009" s="1799"/>
      <c r="AB1009" s="1799"/>
      <c r="AC1009" s="1799"/>
      <c r="AD1009" s="1799"/>
      <c r="AE1009" s="1800"/>
      <c r="AF1009" s="77"/>
      <c r="AG1009" s="7"/>
      <c r="AH1009" s="7"/>
      <c r="AI1009" s="78"/>
      <c r="AJ1009" s="1674"/>
      <c r="AK1009" s="1675"/>
      <c r="AL1009" s="1675"/>
      <c r="AM1009" s="1675"/>
      <c r="AN1009" s="1675"/>
      <c r="AO1009" s="1675"/>
      <c r="AP1009" s="1675"/>
      <c r="AQ1009" s="1676"/>
      <c r="AR1009" s="68"/>
      <c r="AS1009" s="68"/>
      <c r="AT1009" s="68"/>
      <c r="AU1009" s="68"/>
      <c r="AV1009" s="68"/>
      <c r="AW1009" s="68"/>
      <c r="AX1009" s="68"/>
      <c r="AY1009" s="68"/>
      <c r="AZ1009" s="34"/>
      <c r="BA1009" s="34"/>
      <c r="BB1009" s="34"/>
      <c r="BC1009" s="34"/>
    </row>
    <row r="1010" spans="1:55" ht="12.95" customHeight="1">
      <c r="A1010" s="14"/>
      <c r="B1010" s="255"/>
      <c r="C1010" s="318"/>
      <c r="D1010" s="1644" t="s">
        <v>1284</v>
      </c>
      <c r="E1010" s="1645"/>
      <c r="F1010" s="1645"/>
      <c r="G1010" s="1645"/>
      <c r="H1010" s="1645"/>
      <c r="I1010" s="1645"/>
      <c r="J1010" s="1645"/>
      <c r="K1010" s="1645"/>
      <c r="L1010" s="1645"/>
      <c r="M1010" s="1645"/>
      <c r="N1010" s="1645"/>
      <c r="O1010" s="1645"/>
      <c r="P1010" s="1645"/>
      <c r="Q1010" s="1645"/>
      <c r="R1010" s="1645"/>
      <c r="S1010" s="1645"/>
      <c r="T1010" s="1645"/>
      <c r="U1010" s="1645"/>
      <c r="V1010" s="1645"/>
      <c r="W1010" s="1645"/>
      <c r="X1010" s="1645"/>
      <c r="Y1010" s="1645"/>
      <c r="Z1010" s="1645"/>
      <c r="AA1010" s="1645"/>
      <c r="AB1010" s="1645"/>
      <c r="AC1010" s="1645"/>
      <c r="AD1010" s="1645"/>
      <c r="AE1010" s="1646"/>
      <c r="AF1010" s="79"/>
      <c r="AG1010" s="1700" t="s">
        <v>668</v>
      </c>
      <c r="AH1010" s="1701"/>
      <c r="AI1010" s="87"/>
      <c r="AJ1010" s="1662">
        <f>ROUND(IF(AG1010="yes",AJ1001*0.05,0),0)</f>
        <v>0</v>
      </c>
      <c r="AK1010" s="1663"/>
      <c r="AL1010" s="1663"/>
      <c r="AM1010" s="1663"/>
      <c r="AN1010" s="1663"/>
      <c r="AO1010" s="1663"/>
      <c r="AP1010" s="1663"/>
      <c r="AQ1010" s="1664"/>
      <c r="AR1010" s="68"/>
      <c r="AS1010" s="68"/>
      <c r="AT1010" s="68"/>
      <c r="AU1010" s="68"/>
      <c r="AV1010" s="68"/>
      <c r="AW1010" s="68"/>
      <c r="AX1010" s="68"/>
      <c r="AY1010" s="68"/>
      <c r="AZ1010" s="34"/>
      <c r="BA1010" s="34"/>
      <c r="BB1010" s="34"/>
      <c r="BC1010" s="34"/>
    </row>
    <row r="1011" spans="1:55" ht="12.95" customHeight="1">
      <c r="A1011" s="14"/>
      <c r="B1011" s="257"/>
      <c r="C1011" s="82"/>
      <c r="D1011" s="1716" t="s">
        <v>1282</v>
      </c>
      <c r="E1011" s="1717"/>
      <c r="F1011" s="1717"/>
      <c r="G1011" s="1717"/>
      <c r="H1011" s="1717"/>
      <c r="I1011" s="1717"/>
      <c r="J1011" s="1717"/>
      <c r="K1011" s="1717"/>
      <c r="L1011" s="1717"/>
      <c r="M1011" s="1717"/>
      <c r="N1011" s="1717"/>
      <c r="O1011" s="1717"/>
      <c r="P1011" s="1717"/>
      <c r="Q1011" s="1717"/>
      <c r="R1011" s="1717"/>
      <c r="S1011" s="1717"/>
      <c r="T1011" s="1717"/>
      <c r="U1011" s="1717"/>
      <c r="V1011" s="1717"/>
      <c r="W1011" s="1717"/>
      <c r="X1011" s="1717"/>
      <c r="Y1011" s="1717"/>
      <c r="Z1011" s="1717"/>
      <c r="AA1011" s="1717"/>
      <c r="AB1011" s="1717"/>
      <c r="AC1011" s="1717"/>
      <c r="AD1011" s="1717"/>
      <c r="AE1011" s="1718"/>
      <c r="AF1011" s="73"/>
      <c r="AG1011" s="14"/>
      <c r="AH1011" s="14"/>
      <c r="AI1011" s="83"/>
      <c r="AJ1011" s="1665"/>
      <c r="AK1011" s="1666"/>
      <c r="AL1011" s="1666"/>
      <c r="AM1011" s="1666"/>
      <c r="AN1011" s="1666"/>
      <c r="AO1011" s="1666"/>
      <c r="AP1011" s="1666"/>
      <c r="AQ1011" s="1667"/>
      <c r="AR1011" s="68"/>
      <c r="AS1011" s="68"/>
      <c r="AT1011" s="68"/>
      <c r="AU1011" s="68"/>
      <c r="AV1011" s="68"/>
      <c r="AW1011" s="68"/>
      <c r="AX1011" s="68"/>
      <c r="AY1011" s="34"/>
      <c r="AZ1011" s="34"/>
      <c r="BB1011" s="34"/>
    </row>
    <row r="1012" spans="1:55" ht="12.95" customHeight="1">
      <c r="A1012" s="14"/>
      <c r="B1012" s="257"/>
      <c r="C1012" s="82"/>
      <c r="D1012" s="1716"/>
      <c r="E1012" s="1717"/>
      <c r="F1012" s="1717"/>
      <c r="G1012" s="1717"/>
      <c r="H1012" s="1717"/>
      <c r="I1012" s="1717"/>
      <c r="J1012" s="1717"/>
      <c r="K1012" s="1717"/>
      <c r="L1012" s="1717"/>
      <c r="M1012" s="1717"/>
      <c r="N1012" s="1717"/>
      <c r="O1012" s="1717"/>
      <c r="P1012" s="1717"/>
      <c r="Q1012" s="1717"/>
      <c r="R1012" s="1717"/>
      <c r="S1012" s="1717"/>
      <c r="T1012" s="1717"/>
      <c r="U1012" s="1717"/>
      <c r="V1012" s="1717"/>
      <c r="W1012" s="1717"/>
      <c r="X1012" s="1717"/>
      <c r="Y1012" s="1717"/>
      <c r="Z1012" s="1717"/>
      <c r="AA1012" s="1717"/>
      <c r="AB1012" s="1717"/>
      <c r="AC1012" s="1717"/>
      <c r="AD1012" s="1717"/>
      <c r="AE1012" s="1718"/>
      <c r="AF1012" s="73"/>
      <c r="AG1012" s="14"/>
      <c r="AH1012" s="14"/>
      <c r="AI1012" s="83"/>
      <c r="AJ1012" s="1665"/>
      <c r="AK1012" s="1666"/>
      <c r="AL1012" s="1666"/>
      <c r="AM1012" s="1666"/>
      <c r="AN1012" s="1666"/>
      <c r="AO1012" s="1666"/>
      <c r="AP1012" s="1666"/>
      <c r="AQ1012" s="1667"/>
      <c r="AR1012" s="68"/>
      <c r="AS1012" s="68"/>
      <c r="AT1012" s="68"/>
      <c r="AU1012" s="68"/>
      <c r="AV1012" s="68"/>
      <c r="AW1012" s="68"/>
      <c r="AX1012" s="68"/>
      <c r="AY1012" s="910">
        <f>G761+O805</f>
        <v>153</v>
      </c>
      <c r="AZ1012" s="34"/>
      <c r="BB1012" s="34"/>
    </row>
    <row r="1013" spans="1:55" ht="12.95" customHeight="1">
      <c r="A1013" s="14"/>
      <c r="B1013" s="257"/>
      <c r="C1013" s="82"/>
      <c r="D1013" s="1716"/>
      <c r="E1013" s="1717"/>
      <c r="F1013" s="1717"/>
      <c r="G1013" s="1717"/>
      <c r="H1013" s="1717"/>
      <c r="I1013" s="1717"/>
      <c r="J1013" s="1717"/>
      <c r="K1013" s="1717"/>
      <c r="L1013" s="1717"/>
      <c r="M1013" s="1717"/>
      <c r="N1013" s="1717"/>
      <c r="O1013" s="1717"/>
      <c r="P1013" s="1717"/>
      <c r="Q1013" s="1717"/>
      <c r="R1013" s="1717"/>
      <c r="S1013" s="1717"/>
      <c r="T1013" s="1717"/>
      <c r="U1013" s="1717"/>
      <c r="V1013" s="1717"/>
      <c r="W1013" s="1717"/>
      <c r="X1013" s="1717"/>
      <c r="Y1013" s="1717"/>
      <c r="Z1013" s="1717"/>
      <c r="AA1013" s="1717"/>
      <c r="AB1013" s="1717"/>
      <c r="AC1013" s="1717"/>
      <c r="AD1013" s="1717"/>
      <c r="AE1013" s="1718"/>
      <c r="AF1013" s="73"/>
      <c r="AG1013" s="14"/>
      <c r="AH1013" s="14"/>
      <c r="AI1013" s="83"/>
      <c r="AJ1013" s="1665"/>
      <c r="AK1013" s="1666"/>
      <c r="AL1013" s="1666"/>
      <c r="AM1013" s="1666"/>
      <c r="AN1013" s="1666"/>
      <c r="AO1013" s="1666"/>
      <c r="AP1013" s="1666"/>
      <c r="AQ1013" s="1667"/>
      <c r="AR1013" s="68"/>
      <c r="AS1013" s="68"/>
      <c r="AT1013" s="68"/>
      <c r="AU1013" s="68"/>
      <c r="AV1013" s="68"/>
      <c r="AW1013" s="68"/>
      <c r="AX1013" s="68"/>
      <c r="AY1013" s="14"/>
      <c r="AZ1013" s="34"/>
      <c r="BB1013" s="34"/>
    </row>
    <row r="1014" spans="1:55" ht="12.95" customHeight="1">
      <c r="A1014" s="14"/>
      <c r="B1014" s="257"/>
      <c r="C1014" s="82"/>
      <c r="D1014" s="1716"/>
      <c r="E1014" s="1717"/>
      <c r="F1014" s="1717"/>
      <c r="G1014" s="1717"/>
      <c r="H1014" s="1717"/>
      <c r="I1014" s="1717"/>
      <c r="J1014" s="1717"/>
      <c r="K1014" s="1717"/>
      <c r="L1014" s="1717"/>
      <c r="M1014" s="1717"/>
      <c r="N1014" s="1717"/>
      <c r="O1014" s="1717"/>
      <c r="P1014" s="1717"/>
      <c r="Q1014" s="1717"/>
      <c r="R1014" s="1717"/>
      <c r="S1014" s="1717"/>
      <c r="T1014" s="1717"/>
      <c r="U1014" s="1717"/>
      <c r="V1014" s="1717"/>
      <c r="W1014" s="1717"/>
      <c r="X1014" s="1717"/>
      <c r="Y1014" s="1717"/>
      <c r="Z1014" s="1717"/>
      <c r="AA1014" s="1717"/>
      <c r="AB1014" s="1717"/>
      <c r="AC1014" s="1717"/>
      <c r="AD1014" s="1717"/>
      <c r="AE1014" s="1718"/>
      <c r="AF1014" s="73"/>
      <c r="AG1014" s="14"/>
      <c r="AH1014" s="14"/>
      <c r="AI1014" s="83"/>
      <c r="AJ1014" s="1665"/>
      <c r="AK1014" s="1666"/>
      <c r="AL1014" s="1666"/>
      <c r="AM1014" s="1666"/>
      <c r="AN1014" s="1666"/>
      <c r="AO1014" s="1666"/>
      <c r="AP1014" s="1666"/>
      <c r="AQ1014" s="1667"/>
      <c r="AR1014" s="68"/>
      <c r="AS1014" s="68"/>
      <c r="AT1014" s="68"/>
      <c r="AU1014" s="68"/>
      <c r="AV1014" s="68"/>
      <c r="AW1014" s="68"/>
      <c r="AX1014" s="68"/>
      <c r="AY1014" s="909">
        <f>ROUNDDOWN(X1057/I1057,2)</f>
        <v>0.11</v>
      </c>
      <c r="AZ1014" s="34"/>
      <c r="BB1014" s="34"/>
    </row>
    <row r="1015" spans="1:55" ht="12.95" customHeight="1">
      <c r="A1015" s="14"/>
      <c r="B1015" s="75"/>
      <c r="C1015" s="76"/>
      <c r="D1015" s="1689"/>
      <c r="E1015" s="1690"/>
      <c r="F1015" s="1690"/>
      <c r="G1015" s="1690"/>
      <c r="H1015" s="1690"/>
      <c r="I1015" s="1690"/>
      <c r="J1015" s="1690"/>
      <c r="K1015" s="1690"/>
      <c r="L1015" s="1690"/>
      <c r="M1015" s="1690"/>
      <c r="N1015" s="1690"/>
      <c r="O1015" s="1690"/>
      <c r="P1015" s="1690"/>
      <c r="Q1015" s="1690"/>
      <c r="R1015" s="1690"/>
      <c r="S1015" s="1690"/>
      <c r="T1015" s="1690"/>
      <c r="U1015" s="1690"/>
      <c r="V1015" s="1690"/>
      <c r="W1015" s="1690"/>
      <c r="X1015" s="1690"/>
      <c r="Y1015" s="1690"/>
      <c r="Z1015" s="1690"/>
      <c r="AA1015" s="1690"/>
      <c r="AB1015" s="1690"/>
      <c r="AC1015" s="1690"/>
      <c r="AD1015" s="1690"/>
      <c r="AE1015" s="1691"/>
      <c r="AF1015" s="77"/>
      <c r="AG1015" s="7"/>
      <c r="AH1015" s="7"/>
      <c r="AI1015" s="78"/>
      <c r="AJ1015" s="1674"/>
      <c r="AK1015" s="1675"/>
      <c r="AL1015" s="1675"/>
      <c r="AM1015" s="1675"/>
      <c r="AN1015" s="1675"/>
      <c r="AO1015" s="1675"/>
      <c r="AP1015" s="1675"/>
      <c r="AQ1015" s="1676"/>
      <c r="AR1015" s="68"/>
      <c r="AS1015" s="68"/>
      <c r="AT1015" s="68"/>
      <c r="AU1015" s="68"/>
      <c r="AV1015" s="68"/>
      <c r="AW1015" s="68"/>
      <c r="AX1015" s="68"/>
      <c r="AY1015" s="909">
        <f>ROUNDDOWN(X1061/I1061,2)</f>
        <v>0.1</v>
      </c>
      <c r="AZ1015" s="34"/>
      <c r="BB1015" s="34"/>
    </row>
    <row r="1016" spans="1:55" ht="12.95" customHeight="1">
      <c r="A1016" s="14"/>
      <c r="B1016" s="255"/>
      <c r="C1016" s="80" t="s">
        <v>671</v>
      </c>
      <c r="D1016" s="1644" t="s">
        <v>1670</v>
      </c>
      <c r="E1016" s="1645"/>
      <c r="F1016" s="1645"/>
      <c r="G1016" s="1645"/>
      <c r="H1016" s="1645"/>
      <c r="I1016" s="1645"/>
      <c r="J1016" s="1645"/>
      <c r="K1016" s="1645"/>
      <c r="L1016" s="1645"/>
      <c r="M1016" s="1645"/>
      <c r="N1016" s="1645"/>
      <c r="O1016" s="1645"/>
      <c r="P1016" s="1645"/>
      <c r="Q1016" s="1645"/>
      <c r="R1016" s="1645"/>
      <c r="S1016" s="1645"/>
      <c r="T1016" s="1645"/>
      <c r="U1016" s="1645"/>
      <c r="V1016" s="1645"/>
      <c r="W1016" s="1645"/>
      <c r="X1016" s="1645"/>
      <c r="Y1016" s="1645"/>
      <c r="Z1016" s="1645"/>
      <c r="AA1016" s="1645"/>
      <c r="AB1016" s="1645"/>
      <c r="AC1016" s="1645"/>
      <c r="AD1016" s="1645"/>
      <c r="AE1016" s="1646"/>
      <c r="AF1016" s="86"/>
      <c r="AG1016" s="1700" t="s">
        <v>544</v>
      </c>
      <c r="AH1016" s="1701"/>
      <c r="AI1016" s="87"/>
      <c r="AJ1016" s="1662">
        <f>ROUND(IF(AG1016="yes",AJ1001*0.1,0),0)</f>
        <v>9490521</v>
      </c>
      <c r="AK1016" s="1663"/>
      <c r="AL1016" s="1663"/>
      <c r="AM1016" s="1663"/>
      <c r="AN1016" s="1663"/>
      <c r="AO1016" s="1663"/>
      <c r="AP1016" s="1663"/>
      <c r="AQ1016" s="1664"/>
      <c r="AR1016" s="68"/>
      <c r="AS1016" s="68"/>
      <c r="AT1016" s="68"/>
      <c r="AU1016" s="68"/>
      <c r="AV1016" s="68"/>
      <c r="AW1016" s="68"/>
      <c r="AX1016" s="68"/>
      <c r="BB1016" s="34"/>
    </row>
    <row r="1017" spans="1:55" ht="12.95" customHeight="1">
      <c r="A1017" s="14"/>
      <c r="B1017" s="73"/>
      <c r="C1017" s="74"/>
      <c r="D1017" s="1668" t="s">
        <v>1283</v>
      </c>
      <c r="E1017" s="1669"/>
      <c r="F1017" s="1669"/>
      <c r="G1017" s="1669"/>
      <c r="H1017" s="1669"/>
      <c r="I1017" s="1669"/>
      <c r="J1017" s="1669"/>
      <c r="K1017" s="1669"/>
      <c r="L1017" s="1669"/>
      <c r="M1017" s="1669"/>
      <c r="N1017" s="1669"/>
      <c r="O1017" s="1669"/>
      <c r="P1017" s="1669"/>
      <c r="Q1017" s="1669"/>
      <c r="R1017" s="1669"/>
      <c r="S1017" s="1669"/>
      <c r="T1017" s="1669"/>
      <c r="U1017" s="1669"/>
      <c r="V1017" s="1669"/>
      <c r="W1017" s="1669"/>
      <c r="X1017" s="1669"/>
      <c r="Y1017" s="1669"/>
      <c r="Z1017" s="1669"/>
      <c r="AA1017" s="1669"/>
      <c r="AB1017" s="1669"/>
      <c r="AC1017" s="1669"/>
      <c r="AD1017" s="1669"/>
      <c r="AE1017" s="1670"/>
      <c r="AF1017" s="73"/>
      <c r="AI1017" s="83"/>
      <c r="AJ1017" s="1665"/>
      <c r="AK1017" s="1666"/>
      <c r="AL1017" s="1666"/>
      <c r="AM1017" s="1666"/>
      <c r="AN1017" s="1666"/>
      <c r="AO1017" s="1666"/>
      <c r="AP1017" s="1666"/>
      <c r="AQ1017" s="1667"/>
      <c r="AR1017" s="68"/>
      <c r="AS1017" s="68"/>
      <c r="AT1017" s="68"/>
      <c r="AU1017" s="68"/>
      <c r="AV1017" s="68"/>
      <c r="AW1017" s="68"/>
      <c r="AX1017" s="68"/>
    </row>
    <row r="1018" spans="1:55" ht="12.95" customHeight="1">
      <c r="A1018" s="14"/>
      <c r="B1018" s="73"/>
      <c r="C1018" s="74"/>
      <c r="D1018" s="1668"/>
      <c r="E1018" s="1669"/>
      <c r="F1018" s="1669"/>
      <c r="G1018" s="1669"/>
      <c r="H1018" s="1669"/>
      <c r="I1018" s="1669"/>
      <c r="J1018" s="1669"/>
      <c r="K1018" s="1669"/>
      <c r="L1018" s="1669"/>
      <c r="M1018" s="1669"/>
      <c r="N1018" s="1669"/>
      <c r="O1018" s="1669"/>
      <c r="P1018" s="1669"/>
      <c r="Q1018" s="1669"/>
      <c r="R1018" s="1669"/>
      <c r="S1018" s="1669"/>
      <c r="T1018" s="1669"/>
      <c r="U1018" s="1669"/>
      <c r="V1018" s="1669"/>
      <c r="W1018" s="1669"/>
      <c r="X1018" s="1669"/>
      <c r="Y1018" s="1669"/>
      <c r="Z1018" s="1669"/>
      <c r="AA1018" s="1669"/>
      <c r="AB1018" s="1669"/>
      <c r="AC1018" s="1669"/>
      <c r="AD1018" s="1669"/>
      <c r="AE1018" s="1670"/>
      <c r="AF1018" s="73"/>
      <c r="AG1018" s="14"/>
      <c r="AH1018" s="14"/>
      <c r="AI1018" s="83"/>
      <c r="AJ1018" s="1665"/>
      <c r="AK1018" s="1666"/>
      <c r="AL1018" s="1666"/>
      <c r="AM1018" s="1666"/>
      <c r="AN1018" s="1666"/>
      <c r="AO1018" s="1666"/>
      <c r="AP1018" s="1666"/>
      <c r="AQ1018" s="1667"/>
      <c r="AR1018" s="68"/>
      <c r="AS1018" s="68"/>
      <c r="AT1018" s="68"/>
      <c r="AU1018" s="68"/>
      <c r="AV1018" s="68"/>
      <c r="AW1018" s="68"/>
      <c r="AX1018" s="68"/>
    </row>
    <row r="1019" spans="1:55" ht="12.95" customHeight="1">
      <c r="A1019" s="14"/>
      <c r="B1019" s="85"/>
      <c r="C1019" s="76"/>
      <c r="D1019" s="1671"/>
      <c r="E1019" s="1672"/>
      <c r="F1019" s="1672"/>
      <c r="G1019" s="1672"/>
      <c r="H1019" s="1672"/>
      <c r="I1019" s="1672"/>
      <c r="J1019" s="1672"/>
      <c r="K1019" s="1672"/>
      <c r="L1019" s="1672"/>
      <c r="M1019" s="1672"/>
      <c r="N1019" s="1672"/>
      <c r="O1019" s="1672"/>
      <c r="P1019" s="1672"/>
      <c r="Q1019" s="1672"/>
      <c r="R1019" s="1672"/>
      <c r="S1019" s="1672"/>
      <c r="T1019" s="1672"/>
      <c r="U1019" s="1672"/>
      <c r="V1019" s="1672"/>
      <c r="W1019" s="1672"/>
      <c r="X1019" s="1672"/>
      <c r="Y1019" s="1672"/>
      <c r="Z1019" s="1672"/>
      <c r="AA1019" s="1672"/>
      <c r="AB1019" s="1672"/>
      <c r="AC1019" s="1672"/>
      <c r="AD1019" s="1672"/>
      <c r="AE1019" s="1673"/>
      <c r="AF1019" s="77"/>
      <c r="AG1019" s="7"/>
      <c r="AH1019" s="7"/>
      <c r="AI1019" s="78"/>
      <c r="AJ1019" s="1674"/>
      <c r="AK1019" s="1675"/>
      <c r="AL1019" s="1675"/>
      <c r="AM1019" s="1675"/>
      <c r="AN1019" s="1675"/>
      <c r="AO1019" s="1675"/>
      <c r="AP1019" s="1675"/>
      <c r="AQ1019" s="1676"/>
      <c r="AR1019" s="68"/>
      <c r="AS1019" s="68"/>
      <c r="AT1019" s="68"/>
      <c r="AU1019" s="68"/>
      <c r="AV1019" s="68"/>
      <c r="AW1019" s="68"/>
      <c r="AX1019" s="68"/>
    </row>
    <row r="1020" spans="1:55" ht="12.95" customHeight="1">
      <c r="A1020" s="14"/>
      <c r="B1020" s="79"/>
      <c r="C1020" s="80" t="s">
        <v>212</v>
      </c>
      <c r="D1020" s="1644" t="s">
        <v>1285</v>
      </c>
      <c r="E1020" s="1645"/>
      <c r="F1020" s="1645"/>
      <c r="G1020" s="1645"/>
      <c r="H1020" s="1645"/>
      <c r="I1020" s="1645"/>
      <c r="J1020" s="1645"/>
      <c r="K1020" s="1645"/>
      <c r="L1020" s="1645"/>
      <c r="M1020" s="1645"/>
      <c r="N1020" s="1645"/>
      <c r="O1020" s="1645"/>
      <c r="P1020" s="1645"/>
      <c r="Q1020" s="1645"/>
      <c r="R1020" s="1645"/>
      <c r="S1020" s="1645"/>
      <c r="T1020" s="1645"/>
      <c r="U1020" s="1645"/>
      <c r="V1020" s="1645"/>
      <c r="W1020" s="1645"/>
      <c r="X1020" s="1645"/>
      <c r="Y1020" s="1645"/>
      <c r="Z1020" s="1645"/>
      <c r="AA1020" s="1645"/>
      <c r="AB1020" s="1645"/>
      <c r="AC1020" s="1645"/>
      <c r="AD1020" s="1645"/>
      <c r="AE1020" s="1646"/>
      <c r="AF1020" s="79"/>
      <c r="AG1020" s="1700" t="s">
        <v>668</v>
      </c>
      <c r="AH1020" s="1701"/>
      <c r="AI1020" s="87"/>
      <c r="AJ1020" s="1662">
        <f>ROUND(IF(AG1020="yes",AJ1001*0.02,0),0)</f>
        <v>0</v>
      </c>
      <c r="AK1020" s="1663"/>
      <c r="AL1020" s="1663"/>
      <c r="AM1020" s="1663"/>
      <c r="AN1020" s="1663"/>
      <c r="AO1020" s="1663"/>
      <c r="AP1020" s="1663"/>
      <c r="AQ1020" s="1664"/>
      <c r="AR1020" s="68"/>
      <c r="AS1020" s="68"/>
      <c r="AT1020" s="68"/>
      <c r="AU1020" s="68"/>
      <c r="AV1020" s="68"/>
      <c r="AW1020" s="68"/>
      <c r="AX1020" s="68"/>
    </row>
    <row r="1021" spans="1:55" ht="14.25" customHeight="1">
      <c r="A1021" s="14"/>
      <c r="B1021" s="73"/>
      <c r="C1021" s="74"/>
      <c r="D1021" s="1671" t="s">
        <v>1286</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77"/>
      <c r="AG1021" s="7"/>
      <c r="AH1021" s="7"/>
      <c r="AI1021" s="78"/>
      <c r="AJ1021" s="1674"/>
      <c r="AK1021" s="1675"/>
      <c r="AL1021" s="1675"/>
      <c r="AM1021" s="1675"/>
      <c r="AN1021" s="1675"/>
      <c r="AO1021" s="1675"/>
      <c r="AP1021" s="1675"/>
      <c r="AQ1021" s="1676"/>
      <c r="AR1021" s="68"/>
      <c r="AS1021" s="68"/>
      <c r="AT1021" s="68"/>
      <c r="AU1021" s="68"/>
      <c r="AV1021" s="68"/>
      <c r="AW1021" s="68"/>
      <c r="AX1021" s="3" t="s">
        <v>1815</v>
      </c>
      <c r="AZ1021" s="3" t="s">
        <v>2529</v>
      </c>
    </row>
    <row r="1022" spans="1:55" ht="12.95" customHeight="1">
      <c r="A1022" s="14"/>
      <c r="B1022" s="79"/>
      <c r="C1022" s="80" t="s">
        <v>215</v>
      </c>
      <c r="D1022" s="1644" t="s">
        <v>1287</v>
      </c>
      <c r="E1022" s="1645"/>
      <c r="F1022" s="1645"/>
      <c r="G1022" s="1645"/>
      <c r="H1022" s="1645"/>
      <c r="I1022" s="1645"/>
      <c r="J1022" s="1645"/>
      <c r="K1022" s="1645"/>
      <c r="L1022" s="1645"/>
      <c r="M1022" s="1645"/>
      <c r="N1022" s="1645"/>
      <c r="O1022" s="1645"/>
      <c r="P1022" s="1645"/>
      <c r="Q1022" s="1645"/>
      <c r="R1022" s="1645"/>
      <c r="S1022" s="1645"/>
      <c r="T1022" s="1645"/>
      <c r="U1022" s="1645"/>
      <c r="V1022" s="1645"/>
      <c r="W1022" s="1645"/>
      <c r="X1022" s="1645"/>
      <c r="Y1022" s="1645"/>
      <c r="Z1022" s="1645"/>
      <c r="AA1022" s="1645"/>
      <c r="AB1022" s="1645"/>
      <c r="AC1022" s="1645"/>
      <c r="AD1022" s="1645"/>
      <c r="AE1022" s="1646"/>
      <c r="AF1022" s="79"/>
      <c r="AG1022" s="1700" t="s">
        <v>668</v>
      </c>
      <c r="AH1022" s="1701"/>
      <c r="AI1022" s="79"/>
      <c r="AJ1022" s="1662">
        <f>ROUND(IF(AG1022="yes",AJ1001*0.02,0),0)</f>
        <v>0</v>
      </c>
      <c r="AK1022" s="1663"/>
      <c r="AL1022" s="1663"/>
      <c r="AM1022" s="1663"/>
      <c r="AN1022" s="1663"/>
      <c r="AO1022" s="1663"/>
      <c r="AP1022" s="1663"/>
      <c r="AQ1022" s="1664"/>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68" t="s">
        <v>1288</v>
      </c>
      <c r="E1023" s="1669"/>
      <c r="F1023" s="1669"/>
      <c r="G1023" s="1669"/>
      <c r="H1023" s="1669"/>
      <c r="I1023" s="1669"/>
      <c r="J1023" s="1669"/>
      <c r="K1023" s="1669"/>
      <c r="L1023" s="1669"/>
      <c r="M1023" s="1669"/>
      <c r="N1023" s="1669"/>
      <c r="O1023" s="1669"/>
      <c r="P1023" s="1669"/>
      <c r="Q1023" s="1669"/>
      <c r="R1023" s="1669"/>
      <c r="S1023" s="1669"/>
      <c r="T1023" s="1669"/>
      <c r="U1023" s="1669"/>
      <c r="V1023" s="1669"/>
      <c r="W1023" s="1669"/>
      <c r="X1023" s="1669"/>
      <c r="Y1023" s="1669"/>
      <c r="Z1023" s="1669"/>
      <c r="AA1023" s="1669"/>
      <c r="AB1023" s="1669"/>
      <c r="AC1023" s="1669"/>
      <c r="AD1023" s="1669"/>
      <c r="AE1023" s="1670"/>
      <c r="AF1023" s="1790" t="str">
        <f>IF(AND(AG1022="yes",T212&lt;&gt;1),"The project may not be eligible for this boost","")</f>
        <v/>
      </c>
      <c r="AG1023" s="1791"/>
      <c r="AH1023" s="1791"/>
      <c r="AI1023" s="1792"/>
      <c r="AJ1023" s="1665"/>
      <c r="AK1023" s="1666"/>
      <c r="AL1023" s="1666"/>
      <c r="AM1023" s="1666"/>
      <c r="AN1023" s="1666"/>
      <c r="AO1023" s="1666"/>
      <c r="AP1023" s="1666"/>
      <c r="AQ1023" s="1667"/>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71"/>
      <c r="E1024" s="1672"/>
      <c r="F1024" s="1672"/>
      <c r="G1024" s="1672"/>
      <c r="H1024" s="1672"/>
      <c r="I1024" s="1672"/>
      <c r="J1024" s="1672"/>
      <c r="K1024" s="1672"/>
      <c r="L1024" s="1672"/>
      <c r="M1024" s="1672"/>
      <c r="N1024" s="1672"/>
      <c r="O1024" s="1672"/>
      <c r="P1024" s="1672"/>
      <c r="Q1024" s="1672"/>
      <c r="R1024" s="1672"/>
      <c r="S1024" s="1672"/>
      <c r="T1024" s="1672"/>
      <c r="U1024" s="1672"/>
      <c r="V1024" s="1672"/>
      <c r="W1024" s="1672"/>
      <c r="X1024" s="1672"/>
      <c r="Y1024" s="1672"/>
      <c r="Z1024" s="1672"/>
      <c r="AA1024" s="1672"/>
      <c r="AB1024" s="1672"/>
      <c r="AC1024" s="1672"/>
      <c r="AD1024" s="1672"/>
      <c r="AE1024" s="1673"/>
      <c r="AF1024" s="1793"/>
      <c r="AG1024" s="1794"/>
      <c r="AH1024" s="1794"/>
      <c r="AI1024" s="1795"/>
      <c r="AJ1024" s="1674"/>
      <c r="AK1024" s="1675"/>
      <c r="AL1024" s="1675"/>
      <c r="AM1024" s="1675"/>
      <c r="AN1024" s="1675"/>
      <c r="AO1024" s="1675"/>
      <c r="AP1024" s="1675"/>
      <c r="AQ1024" s="1676"/>
      <c r="AR1024" s="68"/>
      <c r="AS1024" s="68"/>
      <c r="AT1024" s="68"/>
      <c r="AU1024" s="68"/>
      <c r="AV1024" s="68"/>
      <c r="AW1024" s="68"/>
      <c r="AX1024" s="3">
        <v>3</v>
      </c>
      <c r="AY1024" s="200">
        <f t="shared" si="55"/>
        <v>0</v>
      </c>
      <c r="AZ1024" s="1189">
        <v>0.05</v>
      </c>
    </row>
    <row r="1025" spans="1:52" ht="12.95" customHeight="1">
      <c r="A1025" s="14"/>
      <c r="B1025" s="79"/>
      <c r="C1025" s="80" t="s">
        <v>218</v>
      </c>
      <c r="D1025" s="1683" t="s">
        <v>2187</v>
      </c>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5"/>
      <c r="AF1025" s="79"/>
      <c r="AG1025" s="1700" t="s">
        <v>668</v>
      </c>
      <c r="AH1025" s="1701"/>
      <c r="AI1025" s="87"/>
      <c r="AJ1025" s="1662">
        <f>IF(AG1025="yes",AJ1001*AY1033,0)</f>
        <v>0</v>
      </c>
      <c r="AK1025" s="1663"/>
      <c r="AL1025" s="1663"/>
      <c r="AM1025" s="1663"/>
      <c r="AN1025" s="1663"/>
      <c r="AO1025" s="1663"/>
      <c r="AP1025" s="1663"/>
      <c r="AQ1025" s="1664"/>
      <c r="AR1025" s="68"/>
      <c r="AS1025" s="68"/>
      <c r="AT1025" s="68"/>
      <c r="AU1025" s="68"/>
      <c r="AV1025" s="68"/>
      <c r="AW1025" s="68"/>
      <c r="AX1025" s="3">
        <v>4</v>
      </c>
      <c r="AY1025" s="200">
        <f t="shared" si="55"/>
        <v>0</v>
      </c>
      <c r="AZ1025" s="1189">
        <v>0.02</v>
      </c>
    </row>
    <row r="1026" spans="1:52" ht="12.95" customHeight="1">
      <c r="A1026" s="14"/>
      <c r="B1026" s="73"/>
      <c r="C1026" s="74"/>
      <c r="D1026" s="1668" t="s">
        <v>2591</v>
      </c>
      <c r="E1026" s="1669"/>
      <c r="F1026" s="1669"/>
      <c r="G1026" s="1669"/>
      <c r="H1026" s="1669"/>
      <c r="I1026" s="1669"/>
      <c r="J1026" s="1669"/>
      <c r="K1026" s="1669"/>
      <c r="L1026" s="1669"/>
      <c r="M1026" s="1669"/>
      <c r="N1026" s="1669"/>
      <c r="O1026" s="1669"/>
      <c r="P1026" s="1669"/>
      <c r="Q1026" s="1669"/>
      <c r="R1026" s="1669"/>
      <c r="S1026" s="1669"/>
      <c r="T1026" s="1669"/>
      <c r="U1026" s="1669"/>
      <c r="V1026" s="1669"/>
      <c r="W1026" s="1669"/>
      <c r="X1026" s="1669"/>
      <c r="Y1026" s="1669"/>
      <c r="Z1026" s="1669"/>
      <c r="AA1026" s="1669"/>
      <c r="AB1026" s="1669"/>
      <c r="AC1026" s="1669"/>
      <c r="AD1026" s="1669"/>
      <c r="AE1026" s="1670"/>
      <c r="AF1026" s="1784" t="str">
        <f>IF(AND(AG1025="Yes",AY1033=0),AY1036,"")</f>
        <v/>
      </c>
      <c r="AG1026" s="1785"/>
      <c r="AH1026" s="1785"/>
      <c r="AI1026" s="1786"/>
      <c r="AJ1026" s="1665"/>
      <c r="AK1026" s="1666"/>
      <c r="AL1026" s="1666"/>
      <c r="AM1026" s="1666"/>
      <c r="AN1026" s="1666"/>
      <c r="AO1026" s="1666"/>
      <c r="AP1026" s="1666"/>
      <c r="AQ1026" s="1667"/>
      <c r="AR1026" s="68"/>
      <c r="AS1026" s="68"/>
      <c r="AT1026" s="68"/>
      <c r="AU1026" s="68"/>
      <c r="AV1026" s="68"/>
      <c r="AW1026" s="68"/>
      <c r="AX1026" s="3">
        <v>5</v>
      </c>
      <c r="AY1026" s="200">
        <f t="shared" si="55"/>
        <v>0</v>
      </c>
      <c r="AZ1026" s="1189">
        <v>0.04</v>
      </c>
    </row>
    <row r="1027" spans="1:52" ht="12.95" customHeight="1">
      <c r="A1027" s="14"/>
      <c r="B1027" s="73"/>
      <c r="C1027" s="74"/>
      <c r="D1027" s="1668"/>
      <c r="E1027" s="1669"/>
      <c r="F1027" s="1669"/>
      <c r="G1027" s="1669"/>
      <c r="H1027" s="1669"/>
      <c r="I1027" s="1669"/>
      <c r="J1027" s="1669"/>
      <c r="K1027" s="1669"/>
      <c r="L1027" s="1669"/>
      <c r="M1027" s="1669"/>
      <c r="N1027" s="1669"/>
      <c r="O1027" s="1669"/>
      <c r="P1027" s="1669"/>
      <c r="Q1027" s="1669"/>
      <c r="R1027" s="1669"/>
      <c r="S1027" s="1669"/>
      <c r="T1027" s="1669"/>
      <c r="U1027" s="1669"/>
      <c r="V1027" s="1669"/>
      <c r="W1027" s="1669"/>
      <c r="X1027" s="1669"/>
      <c r="Y1027" s="1669"/>
      <c r="Z1027" s="1669"/>
      <c r="AA1027" s="1669"/>
      <c r="AB1027" s="1669"/>
      <c r="AC1027" s="1669"/>
      <c r="AD1027" s="1669"/>
      <c r="AE1027" s="1670"/>
      <c r="AF1027" s="1784"/>
      <c r="AG1027" s="1785"/>
      <c r="AH1027" s="1785"/>
      <c r="AI1027" s="1786"/>
      <c r="AJ1027" s="1665"/>
      <c r="AK1027" s="1666"/>
      <c r="AL1027" s="1666"/>
      <c r="AM1027" s="1666"/>
      <c r="AN1027" s="1666"/>
      <c r="AO1027" s="1666"/>
      <c r="AP1027" s="1666"/>
      <c r="AQ1027" s="1667"/>
      <c r="AR1027" s="68"/>
      <c r="AS1027" s="68"/>
      <c r="AT1027" s="68"/>
      <c r="AU1027" s="68"/>
      <c r="AV1027" s="68"/>
      <c r="AW1027" s="68"/>
      <c r="AX1027" s="3">
        <v>6</v>
      </c>
      <c r="AY1027" s="200">
        <f t="shared" si="55"/>
        <v>0</v>
      </c>
      <c r="AZ1027" s="1189">
        <v>0.04</v>
      </c>
    </row>
    <row r="1028" spans="1:52" ht="12.95" customHeight="1">
      <c r="A1028" s="14"/>
      <c r="B1028" s="81"/>
      <c r="C1028" s="82"/>
      <c r="D1028" s="1671"/>
      <c r="E1028" s="1672"/>
      <c r="F1028" s="1672"/>
      <c r="G1028" s="1672"/>
      <c r="H1028" s="1672"/>
      <c r="I1028" s="1672"/>
      <c r="J1028" s="1672"/>
      <c r="K1028" s="1672"/>
      <c r="L1028" s="1672"/>
      <c r="M1028" s="1672"/>
      <c r="N1028" s="1672"/>
      <c r="O1028" s="1672"/>
      <c r="P1028" s="1672"/>
      <c r="Q1028" s="1672"/>
      <c r="R1028" s="1672"/>
      <c r="S1028" s="1672"/>
      <c r="T1028" s="1672"/>
      <c r="U1028" s="1672"/>
      <c r="V1028" s="1672"/>
      <c r="W1028" s="1672"/>
      <c r="X1028" s="1672"/>
      <c r="Y1028" s="1672"/>
      <c r="Z1028" s="1672"/>
      <c r="AA1028" s="1672"/>
      <c r="AB1028" s="1672"/>
      <c r="AC1028" s="1672"/>
      <c r="AD1028" s="1672"/>
      <c r="AE1028" s="1673"/>
      <c r="AF1028" s="1787"/>
      <c r="AG1028" s="1788"/>
      <c r="AH1028" s="1788"/>
      <c r="AI1028" s="1789"/>
      <c r="AJ1028" s="1674"/>
      <c r="AK1028" s="1675"/>
      <c r="AL1028" s="1675"/>
      <c r="AM1028" s="1675"/>
      <c r="AN1028" s="1675"/>
      <c r="AO1028" s="1675"/>
      <c r="AP1028" s="1675"/>
      <c r="AQ1028" s="1676"/>
      <c r="AR1028" s="68"/>
      <c r="AS1028" s="68"/>
      <c r="AT1028" s="68"/>
      <c r="AU1028" s="68"/>
      <c r="AV1028" s="68"/>
      <c r="AW1028" s="68"/>
      <c r="AX1028" s="3">
        <v>7</v>
      </c>
      <c r="AY1028" s="200">
        <f t="shared" si="55"/>
        <v>0</v>
      </c>
      <c r="AZ1028" s="1189">
        <v>0.01</v>
      </c>
    </row>
    <row r="1029" spans="1:52" ht="12.95" customHeight="1">
      <c r="A1029" s="14"/>
      <c r="B1029" s="79"/>
      <c r="C1029" s="80" t="s">
        <v>223</v>
      </c>
      <c r="D1029" s="1707" t="s">
        <v>1289</v>
      </c>
      <c r="E1029" s="1708"/>
      <c r="F1029" s="1708"/>
      <c r="G1029" s="1708"/>
      <c r="H1029" s="1708"/>
      <c r="I1029" s="1708"/>
      <c r="J1029" s="1708"/>
      <c r="K1029" s="1708"/>
      <c r="L1029" s="1708"/>
      <c r="M1029" s="1708"/>
      <c r="N1029" s="1708"/>
      <c r="O1029" s="1708"/>
      <c r="P1029" s="1708"/>
      <c r="Q1029" s="1708"/>
      <c r="R1029" s="1708"/>
      <c r="S1029" s="1708"/>
      <c r="T1029" s="1708"/>
      <c r="U1029" s="1708"/>
      <c r="V1029" s="1708"/>
      <c r="W1029" s="1708"/>
      <c r="X1029" s="1708"/>
      <c r="Y1029" s="1708"/>
      <c r="Z1029" s="1708"/>
      <c r="AA1029" s="1708"/>
      <c r="AB1029" s="1708"/>
      <c r="AC1029" s="1708"/>
      <c r="AD1029" s="1708"/>
      <c r="AE1029" s="1709"/>
      <c r="AF1029" s="79"/>
      <c r="AG1029" s="1700" t="s">
        <v>668</v>
      </c>
      <c r="AH1029" s="1701"/>
      <c r="AI1029" s="87"/>
      <c r="AJ1029" s="1662">
        <f>ROUND(IF(AND(AG1029="Yes",J1033&lt;&gt;"N/A",AF1032&lt;&gt;""),MIN(AF1032,(0.15*AJ1001)),0),0)</f>
        <v>0</v>
      </c>
      <c r="AK1029" s="1663"/>
      <c r="AL1029" s="1663"/>
      <c r="AM1029" s="1663"/>
      <c r="AN1029" s="1663"/>
      <c r="AO1029" s="1663"/>
      <c r="AP1029" s="1663"/>
      <c r="AQ1029" s="1664"/>
      <c r="AR1029" s="68"/>
      <c r="AS1029" s="68"/>
      <c r="AT1029" s="68"/>
      <c r="AU1029" s="68"/>
      <c r="AV1029" s="68"/>
      <c r="AW1029" s="68"/>
      <c r="AX1029" s="3">
        <v>8</v>
      </c>
      <c r="AY1029" s="200">
        <f t="shared" si="55"/>
        <v>0</v>
      </c>
      <c r="AZ1029" s="1189">
        <v>0.01</v>
      </c>
    </row>
    <row r="1030" spans="1:52" ht="12.95" customHeight="1">
      <c r="A1030" s="14"/>
      <c r="B1030" s="81"/>
      <c r="C1030" s="84"/>
      <c r="D1030" s="1710"/>
      <c r="E1030" s="1711"/>
      <c r="F1030" s="1711"/>
      <c r="G1030" s="1711"/>
      <c r="H1030" s="1711"/>
      <c r="I1030" s="1711"/>
      <c r="J1030" s="1711"/>
      <c r="K1030" s="1711"/>
      <c r="L1030" s="1711"/>
      <c r="M1030" s="1711"/>
      <c r="N1030" s="1711"/>
      <c r="O1030" s="1711"/>
      <c r="P1030" s="1711"/>
      <c r="Q1030" s="1711"/>
      <c r="R1030" s="1711"/>
      <c r="S1030" s="1711"/>
      <c r="T1030" s="1711"/>
      <c r="U1030" s="1711"/>
      <c r="V1030" s="1711"/>
      <c r="W1030" s="1711"/>
      <c r="X1030" s="1711"/>
      <c r="Y1030" s="1711"/>
      <c r="Z1030" s="1711"/>
      <c r="AA1030" s="1711"/>
      <c r="AB1030" s="1711"/>
      <c r="AC1030" s="1711"/>
      <c r="AD1030" s="1711"/>
      <c r="AE1030" s="1712"/>
      <c r="AF1030" s="1719" t="str">
        <f>IF(AG1029="yes","Please Select Type and Enter Amount:","")</f>
        <v/>
      </c>
      <c r="AG1030" s="1720"/>
      <c r="AH1030" s="1720"/>
      <c r="AI1030" s="1721"/>
      <c r="AJ1030" s="1665"/>
      <c r="AK1030" s="1666"/>
      <c r="AL1030" s="1666"/>
      <c r="AM1030" s="1666"/>
      <c r="AN1030" s="1666"/>
      <c r="AO1030" s="1666"/>
      <c r="AP1030" s="1666"/>
      <c r="AQ1030" s="1667"/>
      <c r="AR1030" s="68"/>
      <c r="AS1030" s="68"/>
      <c r="AT1030" s="68"/>
      <c r="AU1030" s="68"/>
      <c r="AV1030" s="68"/>
      <c r="AW1030" s="68"/>
      <c r="AX1030" s="3">
        <v>9</v>
      </c>
      <c r="AY1030" s="200">
        <f t="shared" si="55"/>
        <v>0</v>
      </c>
      <c r="AZ1030" s="1189">
        <v>0.01</v>
      </c>
    </row>
    <row r="1031" spans="1:52" ht="12.95" customHeight="1">
      <c r="A1031" s="14"/>
      <c r="B1031" s="81"/>
      <c r="C1031" s="84"/>
      <c r="D1031" s="1668" t="s">
        <v>1290</v>
      </c>
      <c r="E1031" s="1669"/>
      <c r="F1031" s="1669"/>
      <c r="G1031" s="1669"/>
      <c r="H1031" s="1669"/>
      <c r="I1031" s="1669"/>
      <c r="J1031" s="1669"/>
      <c r="K1031" s="1669"/>
      <c r="L1031" s="1669"/>
      <c r="M1031" s="1669"/>
      <c r="N1031" s="1669"/>
      <c r="O1031" s="1669"/>
      <c r="P1031" s="1669"/>
      <c r="Q1031" s="1669"/>
      <c r="R1031" s="1669"/>
      <c r="S1031" s="1669"/>
      <c r="T1031" s="1669"/>
      <c r="U1031" s="1669"/>
      <c r="V1031" s="1669"/>
      <c r="W1031" s="1669"/>
      <c r="X1031" s="1669"/>
      <c r="Y1031" s="1669"/>
      <c r="Z1031" s="1669"/>
      <c r="AA1031" s="1669"/>
      <c r="AB1031" s="1669"/>
      <c r="AC1031" s="1669"/>
      <c r="AD1031" s="1669"/>
      <c r="AE1031" s="1670"/>
      <c r="AF1031" s="1719"/>
      <c r="AG1031" s="1720"/>
      <c r="AH1031" s="1720"/>
      <c r="AI1031" s="1721"/>
      <c r="AJ1031" s="1665"/>
      <c r="AK1031" s="1666"/>
      <c r="AL1031" s="1666"/>
      <c r="AM1031" s="1666"/>
      <c r="AN1031" s="1666"/>
      <c r="AO1031" s="1666"/>
      <c r="AP1031" s="1666"/>
      <c r="AQ1031" s="1667"/>
      <c r="AR1031" s="68"/>
      <c r="AS1031" s="68"/>
      <c r="AT1031" s="68"/>
      <c r="AU1031" s="68"/>
      <c r="AV1031" s="68"/>
      <c r="AW1031" s="68"/>
      <c r="AX1031" s="3">
        <v>10</v>
      </c>
      <c r="AY1031" s="200">
        <f t="shared" si="55"/>
        <v>0</v>
      </c>
      <c r="AZ1031" s="1189">
        <v>0.02</v>
      </c>
    </row>
    <row r="1032" spans="1:52" ht="12.95" customHeight="1">
      <c r="A1032" s="14"/>
      <c r="B1032" s="81"/>
      <c r="C1032" s="84"/>
      <c r="D1032" s="1668"/>
      <c r="E1032" s="1669"/>
      <c r="F1032" s="1669"/>
      <c r="G1032" s="1669"/>
      <c r="H1032" s="1669"/>
      <c r="I1032" s="1669"/>
      <c r="J1032" s="1669"/>
      <c r="K1032" s="1669"/>
      <c r="L1032" s="1669"/>
      <c r="M1032" s="1669"/>
      <c r="N1032" s="1669"/>
      <c r="O1032" s="1669"/>
      <c r="P1032" s="1669"/>
      <c r="Q1032" s="1669"/>
      <c r="R1032" s="1669"/>
      <c r="S1032" s="1669"/>
      <c r="T1032" s="1669"/>
      <c r="U1032" s="1669"/>
      <c r="V1032" s="1669"/>
      <c r="W1032" s="1669"/>
      <c r="X1032" s="1669"/>
      <c r="Y1032" s="1669"/>
      <c r="Z1032" s="1669"/>
      <c r="AA1032" s="1669"/>
      <c r="AB1032" s="1669"/>
      <c r="AC1032" s="1669"/>
      <c r="AD1032" s="1669"/>
      <c r="AE1032" s="1670"/>
      <c r="AF1032" s="1738"/>
      <c r="AG1032" s="1738"/>
      <c r="AH1032" s="1738"/>
      <c r="AI1032" s="1738"/>
      <c r="AJ1032" s="1665"/>
      <c r="AK1032" s="1666"/>
      <c r="AL1032" s="1666"/>
      <c r="AM1032" s="1666"/>
      <c r="AN1032" s="1666"/>
      <c r="AO1032" s="1666"/>
      <c r="AP1032" s="1666"/>
      <c r="AQ1032" s="1667"/>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80" t="s">
        <v>590</v>
      </c>
      <c r="K1033" s="1781"/>
      <c r="L1033" s="1781"/>
      <c r="M1033" s="1781"/>
      <c r="N1033" s="1781"/>
      <c r="O1033" s="1781"/>
      <c r="P1033" s="1781"/>
      <c r="Q1033" s="1781"/>
      <c r="R1033" s="1781"/>
      <c r="S1033" s="1781"/>
      <c r="T1033" s="1781"/>
      <c r="U1033" s="1781"/>
      <c r="V1033" s="1781"/>
      <c r="W1033" s="1781"/>
      <c r="X1033" s="1781"/>
      <c r="Y1033" s="1781"/>
      <c r="Z1033" s="1781"/>
      <c r="AA1033" s="1781"/>
      <c r="AB1033" s="1781"/>
      <c r="AC1033" s="1781"/>
      <c r="AD1033" s="1781"/>
      <c r="AE1033" s="1782"/>
      <c r="AF1033" s="1738"/>
      <c r="AG1033" s="1738"/>
      <c r="AH1033" s="1738"/>
      <c r="AI1033" s="1738"/>
      <c r="AJ1033" s="1674"/>
      <c r="AK1033" s="1675"/>
      <c r="AL1033" s="1675"/>
      <c r="AM1033" s="1675"/>
      <c r="AN1033" s="1675"/>
      <c r="AO1033" s="1675"/>
      <c r="AP1033" s="1675"/>
      <c r="AQ1033" s="1676"/>
      <c r="AR1033" s="68"/>
      <c r="AS1033" s="68"/>
      <c r="AT1033" s="68"/>
      <c r="AU1033" s="68"/>
      <c r="AV1033" s="68"/>
      <c r="AW1033" s="68"/>
      <c r="AX1033" s="1027" t="s">
        <v>2528</v>
      </c>
      <c r="AY1033" s="201">
        <f>IF(SUM(AY1022:AY1032)&lt;=0.2,SUM(AY1022:AY1032),0.2)</f>
        <v>0</v>
      </c>
    </row>
    <row r="1034" spans="1:52" ht="12.95" customHeight="1">
      <c r="A1034" s="14"/>
      <c r="B1034" s="79"/>
      <c r="C1034" s="80" t="s">
        <v>229</v>
      </c>
      <c r="D1034" s="1644" t="s">
        <v>1291</v>
      </c>
      <c r="E1034" s="1645"/>
      <c r="F1034" s="1645"/>
      <c r="G1034" s="1645"/>
      <c r="H1034" s="1645"/>
      <c r="I1034" s="1645"/>
      <c r="J1034" s="1645"/>
      <c r="K1034" s="1645"/>
      <c r="L1034" s="1645"/>
      <c r="M1034" s="1645"/>
      <c r="N1034" s="1645"/>
      <c r="O1034" s="1645"/>
      <c r="P1034" s="1645"/>
      <c r="Q1034" s="1645"/>
      <c r="R1034" s="1645"/>
      <c r="S1034" s="1645"/>
      <c r="T1034" s="1645"/>
      <c r="U1034" s="1645"/>
      <c r="V1034" s="1645"/>
      <c r="W1034" s="1645"/>
      <c r="X1034" s="1645"/>
      <c r="Y1034" s="1645"/>
      <c r="Z1034" s="1645"/>
      <c r="AA1034" s="1645"/>
      <c r="AB1034" s="1645"/>
      <c r="AC1034" s="1645"/>
      <c r="AD1034" s="1645"/>
      <c r="AE1034" s="1646"/>
      <c r="AF1034" s="79"/>
      <c r="AG1034" s="1700" t="s">
        <v>668</v>
      </c>
      <c r="AH1034" s="1701"/>
      <c r="AI1034" s="87"/>
      <c r="AJ1034" s="1662">
        <f>ROUND(IF(AG1034="Yes",AF1036,0),0)</f>
        <v>0</v>
      </c>
      <c r="AK1034" s="1663"/>
      <c r="AL1034" s="1663"/>
      <c r="AM1034" s="1663"/>
      <c r="AN1034" s="1663"/>
      <c r="AO1034" s="1663"/>
      <c r="AP1034" s="1663"/>
      <c r="AQ1034" s="1664"/>
      <c r="AR1034" s="68"/>
      <c r="AS1034" s="68"/>
      <c r="AT1034" s="68"/>
      <c r="AU1034" s="68"/>
      <c r="AV1034" s="68"/>
      <c r="AW1034" s="68"/>
      <c r="AX1034" s="68"/>
      <c r="AY1034" s="68"/>
    </row>
    <row r="1035" spans="1:52" ht="12.95" customHeight="1">
      <c r="A1035" s="14"/>
      <c r="B1035" s="73"/>
      <c r="C1035" s="74"/>
      <c r="D1035" s="1668" t="s">
        <v>1677</v>
      </c>
      <c r="E1035" s="1669"/>
      <c r="F1035" s="1669"/>
      <c r="G1035" s="1669"/>
      <c r="H1035" s="1669"/>
      <c r="I1035" s="1669"/>
      <c r="J1035" s="1669"/>
      <c r="K1035" s="1669"/>
      <c r="L1035" s="1669"/>
      <c r="M1035" s="1669"/>
      <c r="N1035" s="1669"/>
      <c r="O1035" s="1669"/>
      <c r="P1035" s="1669"/>
      <c r="Q1035" s="1669"/>
      <c r="R1035" s="1669"/>
      <c r="S1035" s="1669"/>
      <c r="T1035" s="1669"/>
      <c r="U1035" s="1669"/>
      <c r="V1035" s="1669"/>
      <c r="W1035" s="1669"/>
      <c r="X1035" s="1669"/>
      <c r="Y1035" s="1669"/>
      <c r="Z1035" s="1669"/>
      <c r="AA1035" s="1669"/>
      <c r="AB1035" s="1669"/>
      <c r="AC1035" s="1669"/>
      <c r="AD1035" s="1669"/>
      <c r="AE1035" s="1670"/>
      <c r="AF1035" s="1713" t="str">
        <f>IF(AG1034="yes","Enter Amount:","")</f>
        <v/>
      </c>
      <c r="AG1035" s="1714"/>
      <c r="AH1035" s="1714"/>
      <c r="AI1035" s="1715"/>
      <c r="AJ1035" s="1665"/>
      <c r="AK1035" s="1666"/>
      <c r="AL1035" s="1666"/>
      <c r="AM1035" s="1666"/>
      <c r="AN1035" s="1666"/>
      <c r="AO1035" s="1666"/>
      <c r="AP1035" s="1666"/>
      <c r="AQ1035" s="1667"/>
      <c r="AR1035" s="68"/>
      <c r="AS1035" s="68"/>
      <c r="AT1035" s="68"/>
      <c r="AU1035" s="68"/>
      <c r="AV1035" s="68"/>
      <c r="AW1035" s="68"/>
      <c r="AX1035" s="68"/>
      <c r="AY1035" s="68"/>
    </row>
    <row r="1036" spans="1:52" ht="12.95" customHeight="1">
      <c r="A1036" s="14"/>
      <c r="B1036" s="73"/>
      <c r="C1036" s="74"/>
      <c r="D1036" s="1668"/>
      <c r="E1036" s="1669"/>
      <c r="F1036" s="1669"/>
      <c r="G1036" s="1669"/>
      <c r="H1036" s="1669"/>
      <c r="I1036" s="1669"/>
      <c r="J1036" s="1669"/>
      <c r="K1036" s="1669"/>
      <c r="L1036" s="1669"/>
      <c r="M1036" s="1669"/>
      <c r="N1036" s="1669"/>
      <c r="O1036" s="1669"/>
      <c r="P1036" s="1669"/>
      <c r="Q1036" s="1669"/>
      <c r="R1036" s="1669"/>
      <c r="S1036" s="1669"/>
      <c r="T1036" s="1669"/>
      <c r="U1036" s="1669"/>
      <c r="V1036" s="1669"/>
      <c r="W1036" s="1669"/>
      <c r="X1036" s="1669"/>
      <c r="Y1036" s="1669"/>
      <c r="Z1036" s="1669"/>
      <c r="AA1036" s="1669"/>
      <c r="AB1036" s="1669"/>
      <c r="AC1036" s="1669"/>
      <c r="AD1036" s="1669"/>
      <c r="AE1036" s="1670"/>
      <c r="AF1036" s="1738"/>
      <c r="AG1036" s="1738"/>
      <c r="AH1036" s="1738"/>
      <c r="AI1036" s="1738"/>
      <c r="AJ1036" s="1665"/>
      <c r="AK1036" s="1666"/>
      <c r="AL1036" s="1666"/>
      <c r="AM1036" s="1666"/>
      <c r="AN1036" s="1666"/>
      <c r="AO1036" s="1666"/>
      <c r="AP1036" s="1666"/>
      <c r="AQ1036" s="1667"/>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71"/>
      <c r="E1037" s="1672"/>
      <c r="F1037" s="1672"/>
      <c r="G1037" s="1672"/>
      <c r="H1037" s="1672"/>
      <c r="I1037" s="1672"/>
      <c r="J1037" s="1672"/>
      <c r="K1037" s="1672"/>
      <c r="L1037" s="1672"/>
      <c r="M1037" s="1672"/>
      <c r="N1037" s="1672"/>
      <c r="O1037" s="1672"/>
      <c r="P1037" s="1672"/>
      <c r="Q1037" s="1672"/>
      <c r="R1037" s="1672"/>
      <c r="S1037" s="1672"/>
      <c r="T1037" s="1672"/>
      <c r="U1037" s="1672"/>
      <c r="V1037" s="1672"/>
      <c r="W1037" s="1672"/>
      <c r="X1037" s="1672"/>
      <c r="Y1037" s="1672"/>
      <c r="Z1037" s="1672"/>
      <c r="AA1037" s="1672"/>
      <c r="AB1037" s="1672"/>
      <c r="AC1037" s="1672"/>
      <c r="AD1037" s="1672"/>
      <c r="AE1037" s="1673"/>
      <c r="AF1037" s="1738"/>
      <c r="AG1037" s="1738"/>
      <c r="AH1037" s="1738"/>
      <c r="AI1037" s="1738"/>
      <c r="AJ1037" s="1674"/>
      <c r="AK1037" s="1675"/>
      <c r="AL1037" s="1675"/>
      <c r="AM1037" s="1675"/>
      <c r="AN1037" s="1675"/>
      <c r="AO1037" s="1675"/>
      <c r="AP1037" s="1675"/>
      <c r="AQ1037" s="1676"/>
      <c r="AR1037" s="68"/>
      <c r="AS1037" s="68"/>
      <c r="AT1037" s="68"/>
      <c r="AU1037" s="68"/>
      <c r="AV1037" s="68"/>
      <c r="AW1037" s="68"/>
      <c r="AX1037" s="68"/>
      <c r="AY1037" s="68"/>
    </row>
    <row r="1038" spans="1:52" ht="12.95" customHeight="1">
      <c r="A1038" s="14"/>
      <c r="B1038" s="79"/>
      <c r="C1038" s="80" t="s">
        <v>234</v>
      </c>
      <c r="D1038" s="1683" t="s">
        <v>1292</v>
      </c>
      <c r="E1038" s="1684"/>
      <c r="F1038" s="1684"/>
      <c r="G1038" s="1684"/>
      <c r="H1038" s="1684"/>
      <c r="I1038" s="1684"/>
      <c r="J1038" s="1684"/>
      <c r="K1038" s="1684"/>
      <c r="L1038" s="1684"/>
      <c r="M1038" s="1684"/>
      <c r="N1038" s="1684"/>
      <c r="O1038" s="1684"/>
      <c r="P1038" s="1684"/>
      <c r="Q1038" s="1684"/>
      <c r="R1038" s="1684"/>
      <c r="S1038" s="1684"/>
      <c r="T1038" s="1684"/>
      <c r="U1038" s="1684"/>
      <c r="V1038" s="1684"/>
      <c r="W1038" s="1684"/>
      <c r="X1038" s="1684"/>
      <c r="Y1038" s="1684"/>
      <c r="Z1038" s="1684"/>
      <c r="AA1038" s="1684"/>
      <c r="AB1038" s="1684"/>
      <c r="AC1038" s="1684"/>
      <c r="AD1038" s="1684"/>
      <c r="AE1038" s="1685"/>
      <c r="AF1038" s="79"/>
      <c r="AG1038" s="1700" t="s">
        <v>544</v>
      </c>
      <c r="AH1038" s="1701"/>
      <c r="AI1038" s="87"/>
      <c r="AJ1038" s="1662">
        <f>ROUND(IF(AG1038="yes",(AJ1001*0.1),0),0)</f>
        <v>9490521</v>
      </c>
      <c r="AK1038" s="1663"/>
      <c r="AL1038" s="1663"/>
      <c r="AM1038" s="1663"/>
      <c r="AN1038" s="1663"/>
      <c r="AO1038" s="1663"/>
      <c r="AP1038" s="1663"/>
      <c r="AQ1038" s="1664"/>
      <c r="AR1038" s="68"/>
      <c r="AS1038" s="68"/>
      <c r="AT1038" s="68"/>
      <c r="AU1038" s="68"/>
      <c r="AV1038" s="68"/>
      <c r="AW1038" s="68"/>
      <c r="AX1038" s="68"/>
      <c r="AY1038" s="68"/>
    </row>
    <row r="1039" spans="1:52" ht="12.95" customHeight="1">
      <c r="A1039" s="14"/>
      <c r="B1039" s="73"/>
      <c r="C1039" s="74"/>
      <c r="D1039" s="1668" t="s">
        <v>1293</v>
      </c>
      <c r="E1039" s="1669"/>
      <c r="F1039" s="1669"/>
      <c r="G1039" s="1669"/>
      <c r="H1039" s="1669"/>
      <c r="I1039" s="1669"/>
      <c r="J1039" s="1669"/>
      <c r="K1039" s="1669"/>
      <c r="L1039" s="1669"/>
      <c r="M1039" s="1669"/>
      <c r="N1039" s="1669"/>
      <c r="O1039" s="1669"/>
      <c r="P1039" s="1669"/>
      <c r="Q1039" s="1669"/>
      <c r="R1039" s="1669"/>
      <c r="S1039" s="1669"/>
      <c r="T1039" s="1669"/>
      <c r="U1039" s="1669"/>
      <c r="V1039" s="1669"/>
      <c r="W1039" s="1669"/>
      <c r="X1039" s="1669"/>
      <c r="Y1039" s="1669"/>
      <c r="Z1039" s="1669"/>
      <c r="AA1039" s="1669"/>
      <c r="AB1039" s="1669"/>
      <c r="AC1039" s="1669"/>
      <c r="AD1039" s="1669"/>
      <c r="AE1039" s="1670"/>
      <c r="AF1039" s="73"/>
      <c r="AG1039" s="14"/>
      <c r="AH1039" s="14"/>
      <c r="AI1039" s="83"/>
      <c r="AJ1039" s="1665"/>
      <c r="AK1039" s="1666"/>
      <c r="AL1039" s="1666"/>
      <c r="AM1039" s="1666"/>
      <c r="AN1039" s="1666"/>
      <c r="AO1039" s="1666"/>
      <c r="AP1039" s="1666"/>
      <c r="AQ1039" s="1667"/>
      <c r="AR1039" s="68"/>
      <c r="AS1039" s="68"/>
      <c r="AT1039" s="68"/>
      <c r="AU1039" s="68"/>
      <c r="AV1039" s="68"/>
      <c r="AW1039" s="68"/>
      <c r="AX1039" s="68"/>
      <c r="AY1039" s="68"/>
    </row>
    <row r="1040" spans="1:52" ht="12.95" customHeight="1">
      <c r="A1040" s="14"/>
      <c r="B1040" s="77"/>
      <c r="C1040" s="74"/>
      <c r="D1040" s="1671"/>
      <c r="E1040" s="1672"/>
      <c r="F1040" s="1672"/>
      <c r="G1040" s="1672"/>
      <c r="H1040" s="1672"/>
      <c r="I1040" s="1672"/>
      <c r="J1040" s="1672"/>
      <c r="K1040" s="1672"/>
      <c r="L1040" s="1672"/>
      <c r="M1040" s="1672"/>
      <c r="N1040" s="1672"/>
      <c r="O1040" s="1672"/>
      <c r="P1040" s="1672"/>
      <c r="Q1040" s="1672"/>
      <c r="R1040" s="1672"/>
      <c r="S1040" s="1672"/>
      <c r="T1040" s="1672"/>
      <c r="U1040" s="1672"/>
      <c r="V1040" s="1672"/>
      <c r="W1040" s="1672"/>
      <c r="X1040" s="1672"/>
      <c r="Y1040" s="1672"/>
      <c r="Z1040" s="1672"/>
      <c r="AA1040" s="1672"/>
      <c r="AB1040" s="1672"/>
      <c r="AC1040" s="1672"/>
      <c r="AD1040" s="1672"/>
      <c r="AE1040" s="1673"/>
      <c r="AF1040" s="73"/>
      <c r="AG1040" s="14"/>
      <c r="AH1040" s="14"/>
      <c r="AI1040" s="83"/>
      <c r="AJ1040" s="1674"/>
      <c r="AK1040" s="1675"/>
      <c r="AL1040" s="1675"/>
      <c r="AM1040" s="1675"/>
      <c r="AN1040" s="1675"/>
      <c r="AO1040" s="1675"/>
      <c r="AP1040" s="1675"/>
      <c r="AQ1040" s="1676"/>
      <c r="AR1040" s="68"/>
      <c r="AS1040" s="68"/>
      <c r="AT1040" s="68"/>
      <c r="AU1040" s="68"/>
      <c r="AV1040" s="68"/>
      <c r="AW1040" s="68"/>
      <c r="AX1040" s="68"/>
      <c r="AY1040" s="68"/>
    </row>
    <row r="1041" spans="1:57" ht="12.95" customHeight="1">
      <c r="A1041" s="14"/>
      <c r="B1041" s="73"/>
      <c r="C1041" s="339" t="s">
        <v>686</v>
      </c>
      <c r="D1041" s="1644" t="s">
        <v>1673</v>
      </c>
      <c r="E1041" s="1645"/>
      <c r="F1041" s="1645"/>
      <c r="G1041" s="1645"/>
      <c r="H1041" s="1645"/>
      <c r="I1041" s="1645"/>
      <c r="J1041" s="1645"/>
      <c r="K1041" s="1645"/>
      <c r="L1041" s="1645"/>
      <c r="M1041" s="1645"/>
      <c r="N1041" s="1645"/>
      <c r="O1041" s="1645"/>
      <c r="P1041" s="1645"/>
      <c r="Q1041" s="1645"/>
      <c r="R1041" s="1645"/>
      <c r="S1041" s="1645"/>
      <c r="T1041" s="1645"/>
      <c r="U1041" s="1645"/>
      <c r="V1041" s="1645"/>
      <c r="W1041" s="1645"/>
      <c r="X1041" s="1645"/>
      <c r="Y1041" s="1645"/>
      <c r="Z1041" s="1645"/>
      <c r="AA1041" s="1645"/>
      <c r="AB1041" s="1645"/>
      <c r="AC1041" s="1645"/>
      <c r="AD1041" s="1645"/>
      <c r="AE1041" s="1646"/>
      <c r="AF1041" s="79"/>
      <c r="AG1041" s="1700" t="s">
        <v>668</v>
      </c>
      <c r="AH1041" s="1701"/>
      <c r="AI1041" s="87"/>
      <c r="AJ1041" s="1662">
        <f>ROUND(IF(AG1041="yes",(AJ1001*0.15),0),0)</f>
        <v>0</v>
      </c>
      <c r="AK1041" s="1663"/>
      <c r="AL1041" s="1663"/>
      <c r="AM1041" s="1663"/>
      <c r="AN1041" s="1663"/>
      <c r="AO1041" s="1663"/>
      <c r="AP1041" s="1663"/>
      <c r="AQ1041" s="1664"/>
      <c r="AR1041" s="68"/>
      <c r="AS1041" s="68"/>
      <c r="AT1041" s="68"/>
      <c r="AU1041" s="68"/>
      <c r="AV1041" s="68"/>
      <c r="AW1041" s="68"/>
      <c r="AX1041" s="68"/>
      <c r="AY1041" s="68"/>
    </row>
    <row r="1042" spans="1:57" ht="12.95" customHeight="1">
      <c r="A1042" s="14"/>
      <c r="B1042" s="73"/>
      <c r="C1042" s="74"/>
      <c r="D1042" s="1702" t="s">
        <v>1674</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703"/>
      <c r="AF1042" s="911"/>
      <c r="AG1042" s="912"/>
      <c r="AH1042" s="912"/>
      <c r="AI1042" s="913"/>
      <c r="AJ1042" s="1665"/>
      <c r="AK1042" s="1666"/>
      <c r="AL1042" s="1666"/>
      <c r="AM1042" s="1666"/>
      <c r="AN1042" s="1666"/>
      <c r="AO1042" s="1666"/>
      <c r="AP1042" s="1666"/>
      <c r="AQ1042" s="1667"/>
      <c r="AR1042" s="68"/>
      <c r="AS1042" s="68"/>
      <c r="AT1042" s="68"/>
      <c r="AU1042" s="68"/>
      <c r="AV1042" s="68"/>
      <c r="AW1042" s="68"/>
      <c r="AX1042" s="68"/>
      <c r="AY1042" s="68"/>
    </row>
    <row r="1043" spans="1:57" ht="12.95" customHeight="1">
      <c r="A1043" s="14"/>
      <c r="B1043" s="73"/>
      <c r="C1043" s="74"/>
      <c r="D1043" s="1702"/>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703"/>
      <c r="AF1043" s="911"/>
      <c r="AG1043" s="912"/>
      <c r="AH1043" s="912"/>
      <c r="AI1043" s="913"/>
      <c r="AJ1043" s="1665"/>
      <c r="AK1043" s="1666"/>
      <c r="AL1043" s="1666"/>
      <c r="AM1043" s="1666"/>
      <c r="AN1043" s="1666"/>
      <c r="AO1043" s="1666"/>
      <c r="AP1043" s="1666"/>
      <c r="AQ1043" s="1667"/>
      <c r="AR1043" s="68"/>
      <c r="AS1043" s="68"/>
      <c r="AT1043" s="68"/>
      <c r="AU1043" s="68"/>
      <c r="AV1043" s="68"/>
      <c r="AW1043" s="68"/>
      <c r="AX1043" s="68"/>
      <c r="AY1043" s="68"/>
    </row>
    <row r="1044" spans="1:57" ht="12.95" customHeight="1">
      <c r="A1044" s="14"/>
      <c r="B1044" s="73"/>
      <c r="C1044" s="74"/>
      <c r="D1044" s="1704"/>
      <c r="E1044" s="1705"/>
      <c r="F1044" s="1705"/>
      <c r="G1044" s="1705"/>
      <c r="H1044" s="1705"/>
      <c r="I1044" s="1705"/>
      <c r="J1044" s="1705"/>
      <c r="K1044" s="1705"/>
      <c r="L1044" s="1705"/>
      <c r="M1044" s="1705"/>
      <c r="N1044" s="1705"/>
      <c r="O1044" s="1705"/>
      <c r="P1044" s="1705"/>
      <c r="Q1044" s="1705"/>
      <c r="R1044" s="1705"/>
      <c r="S1044" s="1705"/>
      <c r="T1044" s="1705"/>
      <c r="U1044" s="1705"/>
      <c r="V1044" s="1705"/>
      <c r="W1044" s="1705"/>
      <c r="X1044" s="1705"/>
      <c r="Y1044" s="1705"/>
      <c r="Z1044" s="1705"/>
      <c r="AA1044" s="1705"/>
      <c r="AB1044" s="1705"/>
      <c r="AC1044" s="1705"/>
      <c r="AD1044" s="1705"/>
      <c r="AE1044" s="1706"/>
      <c r="AF1044" s="914"/>
      <c r="AG1044" s="915"/>
      <c r="AH1044" s="915"/>
      <c r="AI1044" s="916"/>
      <c r="AJ1044" s="1674"/>
      <c r="AK1044" s="1675"/>
      <c r="AL1044" s="1675"/>
      <c r="AM1044" s="1675"/>
      <c r="AN1044" s="1675"/>
      <c r="AO1044" s="1675"/>
      <c r="AP1044" s="1675"/>
      <c r="AQ1044" s="1676"/>
      <c r="AR1044" s="68"/>
      <c r="AS1044" s="68"/>
      <c r="AT1044" s="68"/>
      <c r="AU1044" s="68"/>
      <c r="AV1044" s="68"/>
      <c r="AW1044" s="68"/>
      <c r="AX1044" s="68"/>
      <c r="AY1044" s="68"/>
    </row>
    <row r="1045" spans="1:57" ht="12.95" customHeight="1">
      <c r="A1045" s="14"/>
      <c r="B1045" s="73"/>
      <c r="C1045" s="339" t="s">
        <v>686</v>
      </c>
      <c r="D1045" s="1683" t="s">
        <v>1675</v>
      </c>
      <c r="E1045" s="1684"/>
      <c r="F1045" s="1684"/>
      <c r="G1045" s="1684"/>
      <c r="H1045" s="1684"/>
      <c r="I1045" s="1684"/>
      <c r="J1045" s="1684"/>
      <c r="K1045" s="1684"/>
      <c r="L1045" s="1684"/>
      <c r="M1045" s="1684"/>
      <c r="N1045" s="1684"/>
      <c r="O1045" s="1684"/>
      <c r="P1045" s="1684"/>
      <c r="Q1045" s="1684"/>
      <c r="R1045" s="1684"/>
      <c r="S1045" s="1684"/>
      <c r="T1045" s="1684"/>
      <c r="U1045" s="1684"/>
      <c r="V1045" s="1684"/>
      <c r="W1045" s="1684"/>
      <c r="X1045" s="1684"/>
      <c r="Y1045" s="1684"/>
      <c r="Z1045" s="1684"/>
      <c r="AA1045" s="1684"/>
      <c r="AB1045" s="1684"/>
      <c r="AC1045" s="1684"/>
      <c r="AD1045" s="1684"/>
      <c r="AE1045" s="1685"/>
      <c r="AF1045" s="73"/>
      <c r="AG1045" s="1727" t="s">
        <v>544</v>
      </c>
      <c r="AH1045" s="1728"/>
      <c r="AI1045" s="83"/>
      <c r="AJ1045" s="1662">
        <f>ROUND(IF(AND(AG1045="yes",AJ1041=0),(AJ1001*0.1),0),0)</f>
        <v>9490521</v>
      </c>
      <c r="AK1045" s="1663"/>
      <c r="AL1045" s="1663"/>
      <c r="AM1045" s="1663"/>
      <c r="AN1045" s="1663"/>
      <c r="AO1045" s="1663"/>
      <c r="AP1045" s="1663"/>
      <c r="AQ1045" s="1664"/>
      <c r="AR1045" s="68"/>
      <c r="AS1045" s="68"/>
      <c r="AT1045" s="68"/>
      <c r="AU1045" s="68"/>
      <c r="AV1045" s="68"/>
      <c r="AW1045" s="68"/>
      <c r="AX1045" s="68"/>
      <c r="AY1045" s="68"/>
    </row>
    <row r="1046" spans="1:57" ht="12.95" customHeight="1">
      <c r="A1046" s="14"/>
      <c r="B1046" s="73"/>
      <c r="C1046" s="74"/>
      <c r="D1046" s="1702" t="s">
        <v>1676</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703"/>
      <c r="AF1046" s="73"/>
      <c r="AG1046" s="14"/>
      <c r="AH1046" s="14"/>
      <c r="AI1046" s="83"/>
      <c r="AJ1046" s="1665"/>
      <c r="AK1046" s="1666"/>
      <c r="AL1046" s="1666"/>
      <c r="AM1046" s="1666"/>
      <c r="AN1046" s="1666"/>
      <c r="AO1046" s="1666"/>
      <c r="AP1046" s="1666"/>
      <c r="AQ1046" s="1667"/>
      <c r="AR1046" s="68"/>
      <c r="AS1046" s="68"/>
      <c r="AT1046" s="68"/>
      <c r="AU1046" s="68"/>
      <c r="AV1046" s="68"/>
      <c r="AW1046" s="68"/>
      <c r="AX1046" s="68"/>
      <c r="AY1046" s="68"/>
    </row>
    <row r="1047" spans="1:57" ht="12.95" customHeight="1">
      <c r="A1047" s="14"/>
      <c r="B1047" s="73"/>
      <c r="C1047" s="74"/>
      <c r="D1047" s="1702"/>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703"/>
      <c r="AF1047" s="73"/>
      <c r="AG1047" s="14"/>
      <c r="AH1047" s="14"/>
      <c r="AI1047" s="83"/>
      <c r="AJ1047" s="1665"/>
      <c r="AK1047" s="1666"/>
      <c r="AL1047" s="1666"/>
      <c r="AM1047" s="1666"/>
      <c r="AN1047" s="1666"/>
      <c r="AO1047" s="1666"/>
      <c r="AP1047" s="1666"/>
      <c r="AQ1047" s="1667"/>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5" customHeight="1">
      <c r="A1048" s="14"/>
      <c r="B1048" s="73"/>
      <c r="C1048" s="74"/>
      <c r="D1048" s="1702"/>
      <c r="E1048" s="1511"/>
      <c r="F1048" s="1511"/>
      <c r="G1048" s="1511"/>
      <c r="H1048" s="1511"/>
      <c r="I1048" s="1511"/>
      <c r="J1048" s="1511"/>
      <c r="K1048" s="1511"/>
      <c r="L1048" s="1511"/>
      <c r="M1048" s="1511"/>
      <c r="N1048" s="1511"/>
      <c r="O1048" s="1511"/>
      <c r="P1048" s="1511"/>
      <c r="Q1048" s="1511"/>
      <c r="R1048" s="1511"/>
      <c r="S1048" s="1511"/>
      <c r="T1048" s="1511"/>
      <c r="U1048" s="1511"/>
      <c r="V1048" s="1511"/>
      <c r="W1048" s="1511"/>
      <c r="X1048" s="1511"/>
      <c r="Y1048" s="1511"/>
      <c r="Z1048" s="1511"/>
      <c r="AA1048" s="1511"/>
      <c r="AB1048" s="1511"/>
      <c r="AC1048" s="1511"/>
      <c r="AD1048" s="1511"/>
      <c r="AE1048" s="1703"/>
      <c r="AF1048" s="73"/>
      <c r="AG1048" s="14"/>
      <c r="AH1048" s="14"/>
      <c r="AI1048" s="83"/>
      <c r="AJ1048" s="1665"/>
      <c r="AK1048" s="1666"/>
      <c r="AL1048" s="1666"/>
      <c r="AM1048" s="1666"/>
      <c r="AN1048" s="1666"/>
      <c r="AO1048" s="1666"/>
      <c r="AP1048" s="1666"/>
      <c r="AQ1048" s="1667"/>
      <c r="AR1048" s="68"/>
      <c r="AS1048" s="68"/>
      <c r="AT1048" s="68"/>
      <c r="AU1048" s="68"/>
      <c r="AV1048" s="68"/>
      <c r="AW1048" s="68"/>
      <c r="AX1048" s="68"/>
      <c r="AY1048" s="68"/>
      <c r="BA1048">
        <f>IFERROR((($CI$761+$CM$761)/$AG$449),0)</f>
        <v>0.21568627450980393</v>
      </c>
      <c r="BB1048" s="3" t="s">
        <v>2420</v>
      </c>
    </row>
    <row r="1049" spans="1:57" ht="12.95" customHeight="1">
      <c r="A1049" s="14"/>
      <c r="B1049" s="73"/>
      <c r="C1049" s="74"/>
      <c r="D1049" s="1704"/>
      <c r="E1049" s="1705"/>
      <c r="F1049" s="1705"/>
      <c r="G1049" s="1705"/>
      <c r="H1049" s="1705"/>
      <c r="I1049" s="1705"/>
      <c r="J1049" s="1705"/>
      <c r="K1049" s="1705"/>
      <c r="L1049" s="1705"/>
      <c r="M1049" s="1705"/>
      <c r="N1049" s="1705"/>
      <c r="O1049" s="1705"/>
      <c r="P1049" s="1705"/>
      <c r="Q1049" s="1705"/>
      <c r="R1049" s="1705"/>
      <c r="S1049" s="1705"/>
      <c r="T1049" s="1705"/>
      <c r="U1049" s="1705"/>
      <c r="V1049" s="1705"/>
      <c r="W1049" s="1705"/>
      <c r="X1049" s="1705"/>
      <c r="Y1049" s="1705"/>
      <c r="Z1049" s="1705"/>
      <c r="AA1049" s="1705"/>
      <c r="AB1049" s="1705"/>
      <c r="AC1049" s="1705"/>
      <c r="AD1049" s="1705"/>
      <c r="AE1049" s="1706"/>
      <c r="AF1049" s="73"/>
      <c r="AG1049" s="14"/>
      <c r="AH1049" s="14"/>
      <c r="AI1049" s="83"/>
      <c r="AJ1049" s="1665"/>
      <c r="AK1049" s="1666"/>
      <c r="AL1049" s="1666"/>
      <c r="AM1049" s="1666"/>
      <c r="AN1049" s="1666"/>
      <c r="AO1049" s="1666"/>
      <c r="AP1049" s="1666"/>
      <c r="AQ1049" s="1667"/>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644" t="s">
        <v>1294</v>
      </c>
      <c r="E1050" s="1645"/>
      <c r="F1050" s="1645"/>
      <c r="G1050" s="1645"/>
      <c r="H1050" s="1645"/>
      <c r="I1050" s="1645"/>
      <c r="J1050" s="1645"/>
      <c r="K1050" s="1645"/>
      <c r="L1050" s="1645"/>
      <c r="M1050" s="1645"/>
      <c r="N1050" s="1645"/>
      <c r="O1050" s="1645"/>
      <c r="P1050" s="1645"/>
      <c r="Q1050" s="1645"/>
      <c r="R1050" s="1645"/>
      <c r="S1050" s="1645"/>
      <c r="T1050" s="1645"/>
      <c r="U1050" s="1645"/>
      <c r="V1050" s="1645"/>
      <c r="W1050" s="1645"/>
      <c r="X1050" s="1645"/>
      <c r="Y1050" s="1645"/>
      <c r="Z1050" s="1645"/>
      <c r="AA1050" s="1645"/>
      <c r="AB1050" s="1645"/>
      <c r="AC1050" s="1645"/>
      <c r="AD1050" s="1645"/>
      <c r="AE1050" s="1646"/>
      <c r="AF1050" s="79"/>
      <c r="AG1050" s="1700" t="s">
        <v>668</v>
      </c>
      <c r="AH1050" s="1701"/>
      <c r="AI1050" s="87"/>
      <c r="AJ1050" s="1662">
        <f>ROUND(IF(AG1050="yes",(AJ1001*0.1),0),0)</f>
        <v>0</v>
      </c>
      <c r="AK1050" s="1663"/>
      <c r="AL1050" s="1663"/>
      <c r="AM1050" s="1663"/>
      <c r="AN1050" s="1663"/>
      <c r="AO1050" s="1663"/>
      <c r="AP1050" s="1663"/>
      <c r="AQ1050" s="1664"/>
      <c r="AR1050" s="68"/>
      <c r="AS1050" s="68"/>
      <c r="AT1050" s="68"/>
      <c r="AU1050" s="68"/>
      <c r="AV1050" s="68"/>
      <c r="AW1050" s="68"/>
      <c r="AX1050" s="68"/>
      <c r="AY1050" s="68"/>
      <c r="BA1050">
        <f>Q212</f>
        <v>0</v>
      </c>
      <c r="BB1050" s="3" t="s">
        <v>2418</v>
      </c>
    </row>
    <row r="1051" spans="1:57" ht="12.95" customHeight="1">
      <c r="A1051" s="14"/>
      <c r="B1051" s="73"/>
      <c r="C1051" s="74"/>
      <c r="D1051" s="1668" t="s">
        <v>2096</v>
      </c>
      <c r="E1051" s="1669"/>
      <c r="F1051" s="1669"/>
      <c r="G1051" s="1669"/>
      <c r="H1051" s="1669"/>
      <c r="I1051" s="1669"/>
      <c r="J1051" s="1669"/>
      <c r="K1051" s="1669"/>
      <c r="L1051" s="1669"/>
      <c r="M1051" s="1669"/>
      <c r="N1051" s="1669"/>
      <c r="O1051" s="1669"/>
      <c r="P1051" s="1669"/>
      <c r="Q1051" s="1669"/>
      <c r="R1051" s="1669"/>
      <c r="S1051" s="1669"/>
      <c r="T1051" s="1669"/>
      <c r="U1051" s="1669"/>
      <c r="V1051" s="1669"/>
      <c r="W1051" s="1669"/>
      <c r="X1051" s="1669"/>
      <c r="Y1051" s="1669"/>
      <c r="Z1051" s="1669"/>
      <c r="AA1051" s="1669"/>
      <c r="AB1051" s="1669"/>
      <c r="AC1051" s="1669"/>
      <c r="AD1051" s="1669"/>
      <c r="AE1051" s="1670"/>
      <c r="AF1051" s="73"/>
      <c r="AG1051" s="14"/>
      <c r="AH1051" s="14"/>
      <c r="AI1051" s="83"/>
      <c r="AJ1051" s="1665"/>
      <c r="AK1051" s="1666"/>
      <c r="AL1051" s="1666"/>
      <c r="AM1051" s="1666"/>
      <c r="AN1051" s="1666"/>
      <c r="AO1051" s="1666"/>
      <c r="AP1051" s="1666"/>
      <c r="AQ1051" s="1667"/>
      <c r="AR1051" s="68"/>
      <c r="AS1051" s="68"/>
      <c r="AT1051" s="68"/>
      <c r="AU1051" s="68"/>
      <c r="AV1051" s="68"/>
      <c r="AW1051" s="68"/>
      <c r="AX1051" s="68"/>
      <c r="AY1051" s="68"/>
      <c r="BA1051" s="1177">
        <f>T212</f>
        <v>0</v>
      </c>
      <c r="BB1051" s="3" t="s">
        <v>2419</v>
      </c>
    </row>
    <row r="1052" spans="1:57" ht="12.95" customHeight="1">
      <c r="A1052" s="14"/>
      <c r="B1052" s="73"/>
      <c r="C1052" s="74"/>
      <c r="D1052" s="1668"/>
      <c r="E1052" s="1669"/>
      <c r="F1052" s="1669"/>
      <c r="G1052" s="1669"/>
      <c r="H1052" s="1669"/>
      <c r="I1052" s="1669"/>
      <c r="J1052" s="1669"/>
      <c r="K1052" s="1669"/>
      <c r="L1052" s="1669"/>
      <c r="M1052" s="1669"/>
      <c r="N1052" s="1669"/>
      <c r="O1052" s="1669"/>
      <c r="P1052" s="1669"/>
      <c r="Q1052" s="1669"/>
      <c r="R1052" s="1669"/>
      <c r="S1052" s="1669"/>
      <c r="T1052" s="1669"/>
      <c r="U1052" s="1669"/>
      <c r="V1052" s="1669"/>
      <c r="W1052" s="1669"/>
      <c r="X1052" s="1669"/>
      <c r="Y1052" s="1669"/>
      <c r="Z1052" s="1669"/>
      <c r="AA1052" s="1669"/>
      <c r="AB1052" s="1669"/>
      <c r="AC1052" s="1669"/>
      <c r="AD1052" s="1669"/>
      <c r="AE1052" s="1670"/>
      <c r="AF1052" s="73"/>
      <c r="AG1052" s="14"/>
      <c r="AH1052" s="14"/>
      <c r="AI1052" s="83"/>
      <c r="AJ1052" s="1665"/>
      <c r="AK1052" s="1666"/>
      <c r="AL1052" s="1666"/>
      <c r="AM1052" s="1666"/>
      <c r="AN1052" s="1666"/>
      <c r="AO1052" s="1666"/>
      <c r="AP1052" s="1666"/>
      <c r="AQ1052" s="1667"/>
      <c r="AR1052" s="68"/>
      <c r="AS1052" s="68"/>
      <c r="AT1052" s="68"/>
      <c r="AU1052" s="68"/>
      <c r="AV1052" s="68"/>
      <c r="AW1052" s="68"/>
      <c r="AX1052" s="68"/>
      <c r="AY1052" s="68"/>
    </row>
    <row r="1053" spans="1:57" ht="12.95" customHeight="1">
      <c r="A1053" s="14"/>
      <c r="B1053" s="73"/>
      <c r="C1053" s="74"/>
      <c r="D1053" s="1671"/>
      <c r="E1053" s="1672"/>
      <c r="F1053" s="1672"/>
      <c r="G1053" s="1672"/>
      <c r="H1053" s="1672"/>
      <c r="I1053" s="1672"/>
      <c r="J1053" s="1672"/>
      <c r="K1053" s="1672"/>
      <c r="L1053" s="1672"/>
      <c r="M1053" s="1672"/>
      <c r="N1053" s="1672"/>
      <c r="O1053" s="1672"/>
      <c r="P1053" s="1672"/>
      <c r="Q1053" s="1672"/>
      <c r="R1053" s="1672"/>
      <c r="S1053" s="1672"/>
      <c r="T1053" s="1672"/>
      <c r="U1053" s="1672"/>
      <c r="V1053" s="1672"/>
      <c r="W1053" s="1672"/>
      <c r="X1053" s="1672"/>
      <c r="Y1053" s="1672"/>
      <c r="Z1053" s="1672"/>
      <c r="AA1053" s="1672"/>
      <c r="AB1053" s="1672"/>
      <c r="AC1053" s="1672"/>
      <c r="AD1053" s="1672"/>
      <c r="AE1053" s="1673"/>
      <c r="AF1053" s="73"/>
      <c r="AG1053" s="14"/>
      <c r="AH1053" s="14"/>
      <c r="AI1053" s="83"/>
      <c r="AJ1053" s="1674"/>
      <c r="AK1053" s="1675"/>
      <c r="AL1053" s="1675"/>
      <c r="AM1053" s="1675"/>
      <c r="AN1053" s="1675"/>
      <c r="AO1053" s="1675"/>
      <c r="AP1053" s="1675"/>
      <c r="AQ1053" s="1676"/>
      <c r="AR1053" s="68"/>
      <c r="AS1053" s="68"/>
      <c r="AT1053" s="68"/>
      <c r="AU1053" s="68"/>
      <c r="AV1053" s="68"/>
      <c r="AW1053" s="68"/>
      <c r="AX1053" s="68"/>
      <c r="AY1053" s="68"/>
    </row>
    <row r="1054" spans="1:57" ht="12.95" customHeight="1">
      <c r="A1054" s="14"/>
      <c r="B1054" s="79"/>
      <c r="C1054" s="131" t="s">
        <v>1671</v>
      </c>
      <c r="D1054" s="1683" t="s">
        <v>1836</v>
      </c>
      <c r="E1054" s="1684"/>
      <c r="F1054" s="1684"/>
      <c r="G1054" s="1684"/>
      <c r="H1054" s="1684"/>
      <c r="I1054" s="1684"/>
      <c r="J1054" s="1684"/>
      <c r="K1054" s="1684"/>
      <c r="L1054" s="1684"/>
      <c r="M1054" s="1684"/>
      <c r="N1054" s="1684"/>
      <c r="O1054" s="1684"/>
      <c r="P1054" s="1684"/>
      <c r="Q1054" s="1684"/>
      <c r="R1054" s="1684"/>
      <c r="S1054" s="1684"/>
      <c r="T1054" s="1684"/>
      <c r="U1054" s="1684"/>
      <c r="V1054" s="1684"/>
      <c r="W1054" s="1684"/>
      <c r="X1054" s="1684"/>
      <c r="Y1054" s="1684"/>
      <c r="Z1054" s="1684"/>
      <c r="AA1054" s="1684"/>
      <c r="AB1054" s="1684"/>
      <c r="AC1054" s="1684"/>
      <c r="AD1054" s="1684"/>
      <c r="AE1054" s="1685"/>
      <c r="AF1054" s="79"/>
      <c r="AG1054" s="1725" t="str">
        <f>IF(X1057&gt;0,"Yes","No")</f>
        <v>Yes</v>
      </c>
      <c r="AH1054" s="1726"/>
      <c r="AI1054" s="87"/>
      <c r="AJ1054" s="1662">
        <f>IF((X1057=0),0,AY1014*AJ1001)</f>
        <v>10439573.210000001</v>
      </c>
      <c r="AK1054" s="1663"/>
      <c r="AL1054" s="1663"/>
      <c r="AM1054" s="1663"/>
      <c r="AN1054" s="1663"/>
      <c r="AO1054" s="1663"/>
      <c r="AP1054" s="1663"/>
      <c r="AQ1054" s="166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668" t="s">
        <v>1296</v>
      </c>
      <c r="E1055" s="1669"/>
      <c r="F1055" s="1669"/>
      <c r="G1055" s="1669"/>
      <c r="H1055" s="1669"/>
      <c r="I1055" s="1669"/>
      <c r="J1055" s="1669"/>
      <c r="K1055" s="1669"/>
      <c r="L1055" s="1669"/>
      <c r="M1055" s="1669"/>
      <c r="N1055" s="1669"/>
      <c r="O1055" s="1669"/>
      <c r="P1055" s="1669"/>
      <c r="Q1055" s="1669"/>
      <c r="R1055" s="1669"/>
      <c r="S1055" s="1669"/>
      <c r="T1055" s="1669"/>
      <c r="U1055" s="1669"/>
      <c r="V1055" s="1669"/>
      <c r="W1055" s="1669"/>
      <c r="X1055" s="1669"/>
      <c r="Y1055" s="1669"/>
      <c r="Z1055" s="1669"/>
      <c r="AA1055" s="1669"/>
      <c r="AB1055" s="1669"/>
      <c r="AC1055" s="1669"/>
      <c r="AD1055" s="1669"/>
      <c r="AE1055" s="1670"/>
      <c r="AF1055" s="73"/>
      <c r="AG1055" s="443"/>
      <c r="AH1055" s="443"/>
      <c r="AI1055" s="83"/>
      <c r="AJ1055" s="1665"/>
      <c r="AK1055" s="1666"/>
      <c r="AL1055" s="1666"/>
      <c r="AM1055" s="1666"/>
      <c r="AN1055" s="1666"/>
      <c r="AO1055" s="1666"/>
      <c r="AP1055" s="1666"/>
      <c r="AQ1055" s="1667"/>
      <c r="AR1055" s="68"/>
      <c r="AS1055" s="68"/>
      <c r="AT1055" s="68"/>
      <c r="AU1055" s="13"/>
      <c r="AV1055" s="68"/>
      <c r="AW1055" s="68"/>
      <c r="AX1055" s="68"/>
      <c r="AY1055" s="68"/>
      <c r="AZ1055" s="958">
        <f>'Sources and Uses Budget'!S97*BA1055</f>
        <v>7267909.3499999996</v>
      </c>
      <c r="BA1055" s="1175">
        <f>IF(BA1049,20%,15%)</f>
        <v>0.15</v>
      </c>
      <c r="BB1055" s="3" t="s">
        <v>2406</v>
      </c>
      <c r="BC1055" s="3" t="s">
        <v>2407</v>
      </c>
      <c r="BD1055" s="3"/>
    </row>
    <row r="1056" spans="1:57" ht="12.95" customHeight="1">
      <c r="A1056" s="14"/>
      <c r="B1056" s="73"/>
      <c r="C1056" s="442"/>
      <c r="D1056" s="1668"/>
      <c r="E1056" s="1669"/>
      <c r="F1056" s="1669"/>
      <c r="G1056" s="1669"/>
      <c r="H1056" s="1669"/>
      <c r="I1056" s="1669"/>
      <c r="J1056" s="1669"/>
      <c r="K1056" s="1669"/>
      <c r="L1056" s="1669"/>
      <c r="M1056" s="1669"/>
      <c r="N1056" s="1669"/>
      <c r="O1056" s="1669"/>
      <c r="P1056" s="1669"/>
      <c r="Q1056" s="1669"/>
      <c r="R1056" s="1669"/>
      <c r="S1056" s="1669"/>
      <c r="T1056" s="1669"/>
      <c r="U1056" s="1669"/>
      <c r="V1056" s="1669"/>
      <c r="W1056" s="1669"/>
      <c r="X1056" s="1669"/>
      <c r="Y1056" s="1669"/>
      <c r="Z1056" s="1669"/>
      <c r="AA1056" s="1669"/>
      <c r="AB1056" s="1669"/>
      <c r="AC1056" s="1669"/>
      <c r="AD1056" s="1669"/>
      <c r="AE1056" s="1670"/>
      <c r="AF1056" s="73"/>
      <c r="AG1056" s="443"/>
      <c r="AH1056" s="443"/>
      <c r="AI1056" s="83"/>
      <c r="AJ1056" s="1665"/>
      <c r="AK1056" s="1666"/>
      <c r="AL1056" s="1666"/>
      <c r="AM1056" s="1666"/>
      <c r="AN1056" s="1666"/>
      <c r="AO1056" s="1666"/>
      <c r="AP1056" s="1666"/>
      <c r="AQ1056" s="1667"/>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733">
        <f>AY1012</f>
        <v>153</v>
      </c>
      <c r="J1057" s="1734"/>
      <c r="K1057" s="7"/>
      <c r="L1057" s="133"/>
      <c r="M1057" s="133"/>
      <c r="N1057" s="133"/>
      <c r="O1057" s="133"/>
      <c r="P1057" s="133"/>
      <c r="Q1057" s="133"/>
      <c r="R1057" s="133"/>
      <c r="S1057" s="133"/>
      <c r="T1057" s="133"/>
      <c r="U1057" s="133"/>
      <c r="V1057" s="134" t="s">
        <v>971</v>
      </c>
      <c r="W1057" s="48"/>
      <c r="X1057" s="1731">
        <f>CI761</f>
        <v>17</v>
      </c>
      <c r="Y1057" s="1732"/>
      <c r="Z1057" s="48"/>
      <c r="AA1057" s="48"/>
      <c r="AB1057" s="48"/>
      <c r="AC1057" s="48"/>
      <c r="AD1057" s="48"/>
      <c r="AE1057" s="49"/>
      <c r="AF1057" s="920"/>
      <c r="AG1057" s="921"/>
      <c r="AH1057" s="921"/>
      <c r="AI1057" s="922"/>
      <c r="AJ1057" s="1674"/>
      <c r="AK1057" s="1675"/>
      <c r="AL1057" s="1675"/>
      <c r="AM1057" s="1675"/>
      <c r="AN1057" s="1675"/>
      <c r="AO1057" s="1675"/>
      <c r="AP1057" s="1675"/>
      <c r="AQ1057" s="167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2.95" customHeight="1">
      <c r="A1058" s="14"/>
      <c r="B1058" s="79"/>
      <c r="C1058" s="131" t="s">
        <v>1672</v>
      </c>
      <c r="D1058" s="1644" t="s">
        <v>2122</v>
      </c>
      <c r="E1058" s="1645"/>
      <c r="F1058" s="1645"/>
      <c r="G1058" s="1645"/>
      <c r="H1058" s="1645"/>
      <c r="I1058" s="1645"/>
      <c r="J1058" s="1645"/>
      <c r="K1058" s="1645"/>
      <c r="L1058" s="1645"/>
      <c r="M1058" s="1645"/>
      <c r="N1058" s="1645"/>
      <c r="O1058" s="1645"/>
      <c r="P1058" s="1645"/>
      <c r="Q1058" s="1645"/>
      <c r="R1058" s="1645"/>
      <c r="S1058" s="1645"/>
      <c r="T1058" s="1645"/>
      <c r="U1058" s="1645"/>
      <c r="V1058" s="1645"/>
      <c r="W1058" s="1645"/>
      <c r="X1058" s="1645"/>
      <c r="Y1058" s="1645"/>
      <c r="Z1058" s="1645"/>
      <c r="AA1058" s="1645"/>
      <c r="AB1058" s="1645"/>
      <c r="AC1058" s="1645"/>
      <c r="AD1058" s="1645"/>
      <c r="AE1058" s="1646"/>
      <c r="AF1058" s="73"/>
      <c r="AG1058" s="1725" t="str">
        <f>IF(X1061&gt;0,"Yes","No")</f>
        <v>Yes</v>
      </c>
      <c r="AH1058" s="1726"/>
      <c r="AI1058" s="83"/>
      <c r="AJ1058" s="1662">
        <f>IF((X1061=0),0,(2*AY1015)*AJ1001)</f>
        <v>18981042.199999999</v>
      </c>
      <c r="AK1058" s="1663"/>
      <c r="AL1058" s="1663"/>
      <c r="AM1058" s="1663"/>
      <c r="AN1058" s="1663"/>
      <c r="AO1058" s="1663"/>
      <c r="AP1058" s="1663"/>
      <c r="AQ1058" s="1664"/>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668" t="s">
        <v>1295</v>
      </c>
      <c r="E1059" s="1669"/>
      <c r="F1059" s="1669"/>
      <c r="G1059" s="1669"/>
      <c r="H1059" s="1669"/>
      <c r="I1059" s="1669"/>
      <c r="J1059" s="1669"/>
      <c r="K1059" s="1669"/>
      <c r="L1059" s="1669"/>
      <c r="M1059" s="1669"/>
      <c r="N1059" s="1669"/>
      <c r="O1059" s="1669"/>
      <c r="P1059" s="1669"/>
      <c r="Q1059" s="1669"/>
      <c r="R1059" s="1669"/>
      <c r="S1059" s="1669"/>
      <c r="T1059" s="1669"/>
      <c r="U1059" s="1669"/>
      <c r="V1059" s="1669"/>
      <c r="W1059" s="1669"/>
      <c r="X1059" s="1669"/>
      <c r="Y1059" s="1669"/>
      <c r="Z1059" s="1669"/>
      <c r="AA1059" s="1669"/>
      <c r="AB1059" s="1669"/>
      <c r="AC1059" s="1669"/>
      <c r="AD1059" s="1669"/>
      <c r="AE1059" s="1670"/>
      <c r="AF1059" s="73"/>
      <c r="AG1059" s="443"/>
      <c r="AH1059" s="443"/>
      <c r="AI1059" s="83"/>
      <c r="AJ1059" s="1665"/>
      <c r="AK1059" s="1666"/>
      <c r="AL1059" s="1666"/>
      <c r="AM1059" s="1666"/>
      <c r="AN1059" s="1666"/>
      <c r="AO1059" s="1666"/>
      <c r="AP1059" s="1666"/>
      <c r="AQ1059" s="1667"/>
      <c r="AR1059" s="68"/>
      <c r="AS1059" s="68"/>
      <c r="AT1059" s="68"/>
      <c r="AU1059" s="68"/>
      <c r="AV1059" s="68"/>
      <c r="AW1059" s="68"/>
      <c r="AX1059" s="68"/>
      <c r="AY1059" s="68"/>
      <c r="AZ1059" s="958"/>
      <c r="BA1059" s="3"/>
      <c r="BB1059" s="3"/>
      <c r="BC1059" s="3"/>
      <c r="BD1059" s="3"/>
    </row>
    <row r="1060" spans="1:56" ht="12.95" customHeight="1">
      <c r="A1060" s="14"/>
      <c r="B1060" s="73"/>
      <c r="C1060" s="83"/>
      <c r="D1060" s="1668"/>
      <c r="E1060" s="1669"/>
      <c r="F1060" s="1669"/>
      <c r="G1060" s="1669"/>
      <c r="H1060" s="1669"/>
      <c r="I1060" s="1669"/>
      <c r="J1060" s="1669"/>
      <c r="K1060" s="1669"/>
      <c r="L1060" s="1669"/>
      <c r="M1060" s="1669"/>
      <c r="N1060" s="1669"/>
      <c r="O1060" s="1669"/>
      <c r="P1060" s="1669"/>
      <c r="Q1060" s="1669"/>
      <c r="R1060" s="1669"/>
      <c r="S1060" s="1669"/>
      <c r="T1060" s="1669"/>
      <c r="U1060" s="1669"/>
      <c r="V1060" s="1669"/>
      <c r="W1060" s="1669"/>
      <c r="X1060" s="1669"/>
      <c r="Y1060" s="1669"/>
      <c r="Z1060" s="1669"/>
      <c r="AA1060" s="1669"/>
      <c r="AB1060" s="1669"/>
      <c r="AC1060" s="1669"/>
      <c r="AD1060" s="1669"/>
      <c r="AE1060" s="1670"/>
      <c r="AF1060" s="917"/>
      <c r="AG1060" s="918"/>
      <c r="AH1060" s="918"/>
      <c r="AI1060" s="919"/>
      <c r="AJ1060" s="1665"/>
      <c r="AK1060" s="1666"/>
      <c r="AL1060" s="1666"/>
      <c r="AM1060" s="1666"/>
      <c r="AN1060" s="1666"/>
      <c r="AO1060" s="1666"/>
      <c r="AP1060" s="1666"/>
      <c r="AQ1060" s="1667"/>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733">
        <f>AY1012</f>
        <v>153</v>
      </c>
      <c r="J1061" s="1734"/>
      <c r="K1061" s="14"/>
      <c r="L1061" s="133"/>
      <c r="M1061" s="133"/>
      <c r="N1061" s="133"/>
      <c r="O1061" s="133"/>
      <c r="P1061" s="133"/>
      <c r="Q1061" s="133"/>
      <c r="R1061" s="133"/>
      <c r="S1061" s="133"/>
      <c r="T1061" s="133"/>
      <c r="U1061" s="133"/>
      <c r="V1061" s="134" t="s">
        <v>972</v>
      </c>
      <c r="X1061" s="1731">
        <f>CM761</f>
        <v>16</v>
      </c>
      <c r="Y1061" s="1732"/>
      <c r="AF1061" s="920"/>
      <c r="AG1061" s="921"/>
      <c r="AH1061" s="921"/>
      <c r="AI1061" s="922"/>
      <c r="AJ1061" s="1674"/>
      <c r="AK1061" s="1675"/>
      <c r="AL1061" s="1675"/>
      <c r="AM1061" s="1675"/>
      <c r="AN1061" s="1675"/>
      <c r="AO1061" s="1675"/>
      <c r="AP1061" s="1675"/>
      <c r="AQ1061" s="1676"/>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729" t="s">
        <v>512</v>
      </c>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c r="AH1062" s="1729"/>
      <c r="AI1062" s="1730"/>
      <c r="AJ1062" s="1722">
        <f>SUM(AJ1001:AQ1061)</f>
        <v>152797389.41</v>
      </c>
      <c r="AK1062" s="1723"/>
      <c r="AL1062" s="1723"/>
      <c r="AM1062" s="1723"/>
      <c r="AN1062" s="1723"/>
      <c r="AO1062" s="1723"/>
      <c r="AP1062" s="1723"/>
      <c r="AQ1062" s="1724"/>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7">
        <f>'Sources and Uses Budget'!S107+'Sources and Uses Budget'!T107</f>
        <v>55720638</v>
      </c>
      <c r="AB1065" s="1277"/>
      <c r="AC1065" s="1277"/>
      <c r="AD1065" s="1277"/>
      <c r="AE1065" s="1277"/>
      <c r="AF1065" s="127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7267909.3499999996</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8">
        <f>IFERROR((AA1065-BA1068)/(AJ1062-AJ1054-AJ1058),"")</f>
        <v>0.41298477296869512</v>
      </c>
      <c r="AB1066" s="1279"/>
      <c r="AC1066" s="1279"/>
      <c r="AD1066" s="1279"/>
      <c r="AE1066" s="1279"/>
      <c r="AF1066" s="128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1"/>
      <c r="I1067" s="1281"/>
      <c r="J1067" s="1281"/>
      <c r="K1067" s="1281"/>
      <c r="L1067" s="1281"/>
      <c r="M1067" s="1281"/>
      <c r="N1067" s="1281"/>
      <c r="O1067" s="1281"/>
      <c r="P1067" s="1281"/>
      <c r="Q1067" s="1281"/>
      <c r="R1067" s="1281"/>
      <c r="S1067" s="1281"/>
      <c r="T1067" s="1281"/>
      <c r="U1067" s="1281"/>
      <c r="V1067" s="1281"/>
      <c r="W1067" s="1281"/>
      <c r="X1067" s="1281"/>
      <c r="Y1067" s="1281"/>
      <c r="Z1067" s="1281"/>
      <c r="AA1067" s="1281"/>
      <c r="AB1067" s="1281"/>
      <c r="AC1067" s="1281"/>
      <c r="AD1067" s="1281"/>
      <c r="AE1067" s="1281"/>
      <c r="AF1067" s="1281"/>
      <c r="AG1067" s="1281"/>
      <c r="AH1067" s="1281"/>
      <c r="AI1067" s="1281"/>
      <c r="AJ1067" s="1281"/>
      <c r="AK1067" s="1281"/>
      <c r="AL1067" s="1281"/>
      <c r="AM1067" s="1281"/>
      <c r="AN1067" s="1281"/>
      <c r="AO1067" s="68"/>
      <c r="AP1067" s="68"/>
      <c r="AQ1067" s="68"/>
      <c r="AR1067" s="68"/>
      <c r="AS1067" s="68"/>
      <c r="AT1067" s="68"/>
      <c r="AU1067" s="68"/>
      <c r="AV1067" s="14"/>
      <c r="AW1067" s="14"/>
      <c r="AX1067" s="14"/>
      <c r="AY1067" s="14"/>
      <c r="BA1067" s="1178">
        <f>'Sources and Uses Budget'!$S$104+'Sources and Uses Budget'!$T$104</f>
        <v>7267909</v>
      </c>
      <c r="BB1067" s="3" t="s">
        <v>2421</v>
      </c>
    </row>
    <row r="1068" spans="1:56" ht="12.95" customHeight="1">
      <c r="A1068" s="14"/>
      <c r="B1068" s="14"/>
      <c r="C1068" s="208"/>
      <c r="D1068" s="854"/>
      <c r="E1068" s="854"/>
      <c r="F1068" s="854"/>
      <c r="G1068" s="1281"/>
      <c r="H1068" s="1281"/>
      <c r="I1068" s="1281"/>
      <c r="J1068" s="1281"/>
      <c r="K1068" s="1281"/>
      <c r="L1068" s="1281"/>
      <c r="M1068" s="1281"/>
      <c r="N1068" s="1281"/>
      <c r="O1068" s="1281"/>
      <c r="P1068" s="1281"/>
      <c r="Q1068" s="1281"/>
      <c r="R1068" s="1281"/>
      <c r="S1068" s="1281"/>
      <c r="T1068" s="1281"/>
      <c r="U1068" s="1281"/>
      <c r="V1068" s="1281"/>
      <c r="W1068" s="1281"/>
      <c r="X1068" s="1281"/>
      <c r="Y1068" s="1281"/>
      <c r="Z1068" s="1281"/>
      <c r="AA1068" s="1281"/>
      <c r="AB1068" s="1281"/>
      <c r="AC1068" s="1281"/>
      <c r="AD1068" s="1281"/>
      <c r="AE1068" s="1281"/>
      <c r="AF1068" s="1281"/>
      <c r="AG1068" s="1281"/>
      <c r="AH1068" s="1281"/>
      <c r="AI1068" s="1281"/>
      <c r="AJ1068" s="1281"/>
      <c r="AK1068" s="1281"/>
      <c r="AL1068" s="1281"/>
      <c r="AM1068" s="1281"/>
      <c r="AN1068" s="1281"/>
      <c r="AO1068" s="68"/>
      <c r="AP1068" s="68"/>
      <c r="AQ1068" s="68"/>
      <c r="AR1068" s="68"/>
      <c r="AS1068" s="68"/>
      <c r="AT1068" s="68"/>
      <c r="AU1068" s="68"/>
      <c r="AV1068" s="14"/>
      <c r="AW1068" s="14"/>
      <c r="AX1068" s="14"/>
      <c r="AY1068" s="14"/>
      <c r="BA1068" s="1179">
        <f>MAX($BA$1067-$BA$1064,0)</f>
        <v>4767909</v>
      </c>
      <c r="BB1068" s="3" t="s">
        <v>2422</v>
      </c>
    </row>
    <row r="1069" spans="1:56" ht="12.95" customHeight="1">
      <c r="A1069" s="88"/>
      <c r="B1069" s="1165"/>
      <c r="C1069" s="1165"/>
      <c r="D1069" s="1165"/>
      <c r="E1069" s="1165"/>
      <c r="F1069" s="1165"/>
      <c r="G1069" s="1281"/>
      <c r="H1069" s="1281"/>
      <c r="I1069" s="1281"/>
      <c r="J1069" s="1281"/>
      <c r="K1069" s="1281"/>
      <c r="L1069" s="1281"/>
      <c r="M1069" s="1281"/>
      <c r="N1069" s="1281"/>
      <c r="O1069" s="1281"/>
      <c r="P1069" s="1281"/>
      <c r="Q1069" s="1281"/>
      <c r="R1069" s="1281"/>
      <c r="S1069" s="1281"/>
      <c r="T1069" s="1281"/>
      <c r="U1069" s="1281"/>
      <c r="V1069" s="1281"/>
      <c r="W1069" s="1281"/>
      <c r="X1069" s="1281"/>
      <c r="Y1069" s="1281"/>
      <c r="Z1069" s="1281"/>
      <c r="AA1069" s="1281"/>
      <c r="AB1069" s="1281"/>
      <c r="AC1069" s="1281"/>
      <c r="AD1069" s="1281"/>
      <c r="AE1069" s="1281"/>
      <c r="AF1069" s="1281"/>
      <c r="AG1069" s="1281"/>
      <c r="AH1069" s="1281"/>
      <c r="AI1069" s="1281"/>
      <c r="AJ1069" s="1281"/>
      <c r="AK1069" s="1281"/>
      <c r="AL1069" s="1281"/>
      <c r="AM1069" s="1281"/>
      <c r="AN1069" s="1281"/>
      <c r="AO1069" s="1165"/>
      <c r="AP1069" s="1165"/>
      <c r="AQ1069" s="68"/>
      <c r="AR1069" s="68"/>
      <c r="AS1069" s="68"/>
      <c r="AT1069" s="68"/>
      <c r="AU1069" s="68"/>
      <c r="AV1069" s="68"/>
      <c r="AW1069" s="68"/>
      <c r="AX1069" s="68"/>
      <c r="AY1069" s="68"/>
    </row>
    <row r="1070" spans="1:56" ht="12.95" customHeight="1">
      <c r="A1070" s="1759" t="s">
        <v>793</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9" t="s">
        <v>590</v>
      </c>
      <c r="B1074" s="1399"/>
      <c r="C1074" s="1797">
        <v>1</v>
      </c>
      <c r="D1074" s="179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7"/>
      <c r="D1075" s="179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9" t="s">
        <v>590</v>
      </c>
      <c r="B1076" s="1399"/>
      <c r="C1076" s="1797">
        <v>2</v>
      </c>
      <c r="D1076" s="1797"/>
      <c r="E1076" s="1802" t="s">
        <v>2189</v>
      </c>
      <c r="F1076" s="1802"/>
      <c r="G1076" s="1802"/>
      <c r="H1076" s="1802"/>
      <c r="I1076" s="1802"/>
      <c r="J1076" s="1802"/>
      <c r="K1076" s="1802"/>
      <c r="L1076" s="1802"/>
      <c r="M1076" s="1802"/>
      <c r="N1076" s="1802"/>
      <c r="O1076" s="1802"/>
      <c r="P1076" s="1802"/>
      <c r="Q1076" s="1802"/>
      <c r="R1076" s="1802"/>
      <c r="S1076" s="1802"/>
      <c r="T1076" s="1802"/>
      <c r="U1076" s="1802"/>
      <c r="V1076" s="1802"/>
      <c r="W1076" s="1802"/>
      <c r="X1076" s="1802"/>
      <c r="Y1076" s="1802"/>
      <c r="Z1076" s="1802"/>
      <c r="AA1076" s="1802"/>
      <c r="AB1076" s="1802"/>
      <c r="AC1076" s="1802"/>
      <c r="AD1076" s="1802"/>
      <c r="AE1076" s="1802"/>
      <c r="AF1076" s="1802"/>
      <c r="AG1076" s="1802"/>
      <c r="AH1076" s="1802"/>
      <c r="AI1076" s="1802"/>
      <c r="AJ1076" s="1802"/>
      <c r="AK1076" s="1802"/>
      <c r="AL1076" s="1802"/>
      <c r="AM1076" s="1802"/>
      <c r="AN1076" s="1802"/>
      <c r="AO1076" s="1802"/>
      <c r="AP1076" s="1802"/>
      <c r="AQ1076" s="1802"/>
      <c r="AR1076" s="1802"/>
      <c r="AS1076" s="14"/>
      <c r="AT1076" s="14"/>
      <c r="AV1076" s="68"/>
      <c r="AW1076" s="68"/>
      <c r="AX1076" s="68"/>
      <c r="AY1076" s="68"/>
    </row>
    <row r="1077" spans="1:51" ht="12.95" customHeight="1">
      <c r="A1077" s="198"/>
      <c r="B1077" s="67"/>
      <c r="C1077" s="1797"/>
      <c r="D1077" s="1797"/>
      <c r="E1077" s="1802"/>
      <c r="F1077" s="1802"/>
      <c r="G1077" s="1802"/>
      <c r="H1077" s="1802"/>
      <c r="I1077" s="1802"/>
      <c r="J1077" s="1802"/>
      <c r="K1077" s="1802"/>
      <c r="L1077" s="1802"/>
      <c r="M1077" s="1802"/>
      <c r="N1077" s="1802"/>
      <c r="O1077" s="1802"/>
      <c r="P1077" s="1802"/>
      <c r="Q1077" s="1802"/>
      <c r="R1077" s="1802"/>
      <c r="S1077" s="1802"/>
      <c r="T1077" s="1802"/>
      <c r="U1077" s="1802"/>
      <c r="V1077" s="1802"/>
      <c r="W1077" s="1802"/>
      <c r="X1077" s="1802"/>
      <c r="Y1077" s="1802"/>
      <c r="Z1077" s="1802"/>
      <c r="AA1077" s="1802"/>
      <c r="AB1077" s="1802"/>
      <c r="AC1077" s="1802"/>
      <c r="AD1077" s="1802"/>
      <c r="AE1077" s="1802"/>
      <c r="AF1077" s="1802"/>
      <c r="AG1077" s="1802"/>
      <c r="AH1077" s="1802"/>
      <c r="AI1077" s="1802"/>
      <c r="AJ1077" s="1802"/>
      <c r="AK1077" s="1802"/>
      <c r="AL1077" s="1802"/>
      <c r="AM1077" s="1802"/>
      <c r="AN1077" s="1802"/>
      <c r="AO1077" s="1802"/>
      <c r="AP1077" s="1802"/>
      <c r="AQ1077" s="1802"/>
      <c r="AR1077" s="1802"/>
      <c r="AS1077" s="14"/>
      <c r="AT1077" s="14"/>
      <c r="AV1077" s="68"/>
      <c r="AW1077" s="68"/>
      <c r="AX1077" s="68"/>
      <c r="AY1077" s="68"/>
    </row>
    <row r="1078" spans="1:51" ht="12.95" customHeight="1">
      <c r="A1078" s="198"/>
      <c r="B1078" s="67"/>
      <c r="C1078" s="1797"/>
      <c r="D1078" s="179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9" t="s">
        <v>590</v>
      </c>
      <c r="B1079" s="1399"/>
      <c r="C1079" s="1350">
        <v>3</v>
      </c>
      <c r="D1079" s="1350"/>
      <c r="E1079" s="1762" t="s">
        <v>1078</v>
      </c>
      <c r="F1079" s="1762"/>
      <c r="G1079" s="1762"/>
      <c r="H1079" s="1762"/>
      <c r="I1079" s="1762"/>
      <c r="J1079" s="1762"/>
      <c r="K1079" s="1762"/>
      <c r="L1079" s="1762"/>
      <c r="M1079" s="1762"/>
      <c r="N1079" s="1762"/>
      <c r="O1079" s="1762"/>
      <c r="P1079" s="1762"/>
      <c r="Q1079" s="1762"/>
      <c r="R1079" s="1762"/>
      <c r="S1079" s="1762"/>
      <c r="T1079" s="1762"/>
      <c r="U1079" s="1762"/>
      <c r="V1079" s="1762"/>
      <c r="W1079" s="1762"/>
      <c r="X1079" s="1762"/>
      <c r="Y1079" s="1762"/>
      <c r="Z1079" s="1762"/>
      <c r="AA1079" s="1762"/>
      <c r="AB1079" s="1762"/>
      <c r="AC1079" s="1762"/>
      <c r="AD1079" s="1762"/>
      <c r="AE1079" s="1762"/>
      <c r="AF1079" s="1762"/>
      <c r="AG1079" s="1762"/>
      <c r="AH1079" s="1762"/>
      <c r="AI1079" s="1762"/>
      <c r="AJ1079" s="1762"/>
      <c r="AK1079" s="1762"/>
      <c r="AL1079" s="1762"/>
      <c r="AM1079" s="1762"/>
      <c r="AN1079" s="1762"/>
      <c r="AO1079" s="1762"/>
      <c r="AP1079" s="1762"/>
      <c r="AQ1079" s="1762"/>
      <c r="AR1079" s="1762"/>
      <c r="AS1079" s="14"/>
      <c r="AT1079" s="68"/>
      <c r="AV1079" s="68"/>
      <c r="AW1079" s="68"/>
      <c r="AX1079" s="68"/>
      <c r="AY1079" s="68"/>
    </row>
    <row r="1080" spans="1:51" ht="12.95" customHeight="1">
      <c r="A1080" s="1"/>
      <c r="B1080" s="1"/>
      <c r="C1080" s="1350"/>
      <c r="D1080" s="1350"/>
      <c r="E1080" s="1762"/>
      <c r="F1080" s="1762"/>
      <c r="G1080" s="1762"/>
      <c r="H1080" s="1762"/>
      <c r="I1080" s="1762"/>
      <c r="J1080" s="1762"/>
      <c r="K1080" s="1762"/>
      <c r="L1080" s="1762"/>
      <c r="M1080" s="1762"/>
      <c r="N1080" s="1762"/>
      <c r="O1080" s="1762"/>
      <c r="P1080" s="1762"/>
      <c r="Q1080" s="1762"/>
      <c r="R1080" s="1762"/>
      <c r="S1080" s="1762"/>
      <c r="T1080" s="1762"/>
      <c r="U1080" s="1762"/>
      <c r="V1080" s="1762"/>
      <c r="W1080" s="1762"/>
      <c r="X1080" s="1762"/>
      <c r="Y1080" s="1762"/>
      <c r="Z1080" s="1762"/>
      <c r="AA1080" s="1762"/>
      <c r="AB1080" s="1762"/>
      <c r="AC1080" s="1762"/>
      <c r="AD1080" s="1762"/>
      <c r="AE1080" s="1762"/>
      <c r="AF1080" s="1762"/>
      <c r="AG1080" s="1762"/>
      <c r="AH1080" s="1762"/>
      <c r="AI1080" s="1762"/>
      <c r="AJ1080" s="1762"/>
      <c r="AK1080" s="1762"/>
      <c r="AL1080" s="1762"/>
      <c r="AM1080" s="1762"/>
      <c r="AN1080" s="1762"/>
      <c r="AO1080" s="1762"/>
      <c r="AP1080" s="1762"/>
      <c r="AQ1080" s="1762"/>
      <c r="AR1080" s="1762"/>
      <c r="AS1080" s="14"/>
      <c r="AT1080" s="68"/>
      <c r="AV1080" s="68"/>
      <c r="AW1080" s="68"/>
      <c r="AX1080" s="68"/>
      <c r="AY1080" s="68"/>
    </row>
    <row r="1081" spans="1:51" ht="12.95" customHeight="1">
      <c r="A1081" s="1"/>
      <c r="B1081" s="1"/>
      <c r="C1081" s="1350"/>
      <c r="D1081" s="1350"/>
      <c r="E1081" s="1762"/>
      <c r="F1081" s="1762"/>
      <c r="G1081" s="1762"/>
      <c r="H1081" s="1762"/>
      <c r="I1081" s="1762"/>
      <c r="J1081" s="1762"/>
      <c r="K1081" s="1762"/>
      <c r="L1081" s="1762"/>
      <c r="M1081" s="1762"/>
      <c r="N1081" s="1762"/>
      <c r="O1081" s="1762"/>
      <c r="P1081" s="1762"/>
      <c r="Q1081" s="1762"/>
      <c r="R1081" s="1762"/>
      <c r="S1081" s="1762"/>
      <c r="T1081" s="1762"/>
      <c r="U1081" s="1762"/>
      <c r="V1081" s="1762"/>
      <c r="W1081" s="1762"/>
      <c r="X1081" s="1762"/>
      <c r="Y1081" s="1762"/>
      <c r="Z1081" s="1762"/>
      <c r="AA1081" s="1762"/>
      <c r="AB1081" s="1762"/>
      <c r="AC1081" s="1762"/>
      <c r="AD1081" s="1762"/>
      <c r="AE1081" s="1762"/>
      <c r="AF1081" s="1762"/>
      <c r="AG1081" s="1762"/>
      <c r="AH1081" s="1762"/>
      <c r="AI1081" s="1762"/>
      <c r="AJ1081" s="1762"/>
      <c r="AK1081" s="1762"/>
      <c r="AL1081" s="1762"/>
      <c r="AM1081" s="1762"/>
      <c r="AN1081" s="1762"/>
      <c r="AO1081" s="1762"/>
      <c r="AP1081" s="1762"/>
      <c r="AQ1081" s="1762"/>
      <c r="AR1081" s="1762"/>
      <c r="AS1081" s="14"/>
      <c r="AT1081" s="68"/>
      <c r="AV1081" s="68"/>
      <c r="AW1081" s="68"/>
      <c r="AX1081" s="68"/>
      <c r="AY1081" s="68"/>
    </row>
    <row r="1082" spans="1:51" ht="12.95" customHeight="1">
      <c r="A1082" s="1"/>
      <c r="B1082" s="1"/>
      <c r="C1082" s="1350"/>
      <c r="D1082" s="1350"/>
      <c r="E1082" s="1762"/>
      <c r="F1082" s="1762"/>
      <c r="G1082" s="1762"/>
      <c r="H1082" s="1762"/>
      <c r="I1082" s="1762"/>
      <c r="J1082" s="1762"/>
      <c r="K1082" s="1762"/>
      <c r="L1082" s="1762"/>
      <c r="M1082" s="1762"/>
      <c r="N1082" s="1762"/>
      <c r="O1082" s="1762"/>
      <c r="P1082" s="1762"/>
      <c r="Q1082" s="1762"/>
      <c r="R1082" s="1762"/>
      <c r="S1082" s="1762"/>
      <c r="T1082" s="1762"/>
      <c r="U1082" s="1762"/>
      <c r="V1082" s="1762"/>
      <c r="W1082" s="1762"/>
      <c r="X1082" s="1762"/>
      <c r="Y1082" s="1762"/>
      <c r="Z1082" s="1762"/>
      <c r="AA1082" s="1762"/>
      <c r="AB1082" s="1762"/>
      <c r="AC1082" s="1762"/>
      <c r="AD1082" s="1762"/>
      <c r="AE1082" s="1762"/>
      <c r="AF1082" s="1762"/>
      <c r="AG1082" s="1762"/>
      <c r="AH1082" s="1762"/>
      <c r="AI1082" s="1762"/>
      <c r="AJ1082" s="1762"/>
      <c r="AK1082" s="1762"/>
      <c r="AL1082" s="1762"/>
      <c r="AM1082" s="1762"/>
      <c r="AN1082" s="1762"/>
      <c r="AO1082" s="1762"/>
      <c r="AP1082" s="1762"/>
      <c r="AQ1082" s="1762"/>
      <c r="AR1082" s="1762"/>
      <c r="AS1082" s="14"/>
      <c r="AT1082" s="68"/>
      <c r="AV1082" s="68"/>
      <c r="AW1082" s="68"/>
      <c r="AX1082" s="68"/>
      <c r="AY1082" s="68"/>
    </row>
    <row r="1083" spans="1:51" ht="12.95" customHeight="1">
      <c r="A1083" s="2"/>
      <c r="B1083" s="25"/>
      <c r="C1083" s="1350"/>
      <c r="D1083" s="135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9" t="s">
        <v>590</v>
      </c>
      <c r="B1084" s="1399"/>
      <c r="C1084" s="1350">
        <v>4</v>
      </c>
      <c r="D1084" s="1350"/>
      <c r="E1084" s="1762" t="s">
        <v>1077</v>
      </c>
      <c r="F1084" s="1762"/>
      <c r="G1084" s="1762"/>
      <c r="H1084" s="1762"/>
      <c r="I1084" s="1762"/>
      <c r="J1084" s="1762"/>
      <c r="K1084" s="1762"/>
      <c r="L1084" s="1762"/>
      <c r="M1084" s="1762"/>
      <c r="N1084" s="1762"/>
      <c r="O1084" s="1762"/>
      <c r="P1084" s="1762"/>
      <c r="Q1084" s="1762"/>
      <c r="R1084" s="1762"/>
      <c r="S1084" s="1762"/>
      <c r="T1084" s="1762"/>
      <c r="U1084" s="1762"/>
      <c r="V1084" s="1762"/>
      <c r="W1084" s="1762"/>
      <c r="X1084" s="1762"/>
      <c r="Y1084" s="1762"/>
      <c r="Z1084" s="1762"/>
      <c r="AA1084" s="1762"/>
      <c r="AB1084" s="1762"/>
      <c r="AC1084" s="1762"/>
      <c r="AD1084" s="1762"/>
      <c r="AE1084" s="1762"/>
      <c r="AF1084" s="1762"/>
      <c r="AG1084" s="1762"/>
      <c r="AH1084" s="1762"/>
      <c r="AI1084" s="1762"/>
      <c r="AJ1084" s="1762"/>
      <c r="AK1084" s="1762"/>
      <c r="AL1084" s="1762"/>
      <c r="AM1084" s="1762"/>
      <c r="AN1084" s="1762"/>
      <c r="AO1084" s="1762"/>
      <c r="AP1084" s="1762"/>
      <c r="AQ1084" s="1762"/>
      <c r="AR1084" s="1762"/>
      <c r="AS1084" s="14"/>
      <c r="AT1084" s="68"/>
    </row>
    <row r="1085" spans="1:51" ht="12.95" customHeight="1">
      <c r="A1085" s="1"/>
      <c r="B1085" s="1"/>
      <c r="C1085" s="1350"/>
      <c r="D1085" s="1350"/>
      <c r="E1085" s="1762"/>
      <c r="F1085" s="1762"/>
      <c r="G1085" s="1762"/>
      <c r="H1085" s="1762"/>
      <c r="I1085" s="1762"/>
      <c r="J1085" s="1762"/>
      <c r="K1085" s="1762"/>
      <c r="L1085" s="1762"/>
      <c r="M1085" s="1762"/>
      <c r="N1085" s="1762"/>
      <c r="O1085" s="1762"/>
      <c r="P1085" s="1762"/>
      <c r="Q1085" s="1762"/>
      <c r="R1085" s="1762"/>
      <c r="S1085" s="1762"/>
      <c r="T1085" s="1762"/>
      <c r="U1085" s="1762"/>
      <c r="V1085" s="1762"/>
      <c r="W1085" s="1762"/>
      <c r="X1085" s="1762"/>
      <c r="Y1085" s="1762"/>
      <c r="Z1085" s="1762"/>
      <c r="AA1085" s="1762"/>
      <c r="AB1085" s="1762"/>
      <c r="AC1085" s="1762"/>
      <c r="AD1085" s="1762"/>
      <c r="AE1085" s="1762"/>
      <c r="AF1085" s="1762"/>
      <c r="AG1085" s="1762"/>
      <c r="AH1085" s="1762"/>
      <c r="AI1085" s="1762"/>
      <c r="AJ1085" s="1762"/>
      <c r="AK1085" s="1762"/>
      <c r="AL1085" s="1762"/>
      <c r="AM1085" s="1762"/>
      <c r="AN1085" s="1762"/>
      <c r="AO1085" s="1762"/>
      <c r="AP1085" s="1762"/>
      <c r="AQ1085" s="1762"/>
      <c r="AR1085" s="1762"/>
      <c r="AS1085" s="14"/>
      <c r="AT1085" s="68"/>
    </row>
    <row r="1086" spans="1:51" ht="12.95" customHeight="1">
      <c r="A1086" s="1"/>
      <c r="B1086" s="1"/>
      <c r="C1086" s="1350"/>
      <c r="D1086" s="1350"/>
      <c r="E1086" s="1762"/>
      <c r="F1086" s="1762"/>
      <c r="G1086" s="1762"/>
      <c r="H1086" s="1762"/>
      <c r="I1086" s="1762"/>
      <c r="J1086" s="1762"/>
      <c r="K1086" s="1762"/>
      <c r="L1086" s="1762"/>
      <c r="M1086" s="1762"/>
      <c r="N1086" s="1762"/>
      <c r="O1086" s="1762"/>
      <c r="P1086" s="1762"/>
      <c r="Q1086" s="1762"/>
      <c r="R1086" s="1762"/>
      <c r="S1086" s="1762"/>
      <c r="T1086" s="1762"/>
      <c r="U1086" s="1762"/>
      <c r="V1086" s="1762"/>
      <c r="W1086" s="1762"/>
      <c r="X1086" s="1762"/>
      <c r="Y1086" s="1762"/>
      <c r="Z1086" s="1762"/>
      <c r="AA1086" s="1762"/>
      <c r="AB1086" s="1762"/>
      <c r="AC1086" s="1762"/>
      <c r="AD1086" s="1762"/>
      <c r="AE1086" s="1762"/>
      <c r="AF1086" s="1762"/>
      <c r="AG1086" s="1762"/>
      <c r="AH1086" s="1762"/>
      <c r="AI1086" s="1762"/>
      <c r="AJ1086" s="1762"/>
      <c r="AK1086" s="1762"/>
      <c r="AL1086" s="1762"/>
      <c r="AM1086" s="1762"/>
      <c r="AN1086" s="1762"/>
      <c r="AO1086" s="1762"/>
      <c r="AP1086" s="1762"/>
      <c r="AQ1086" s="1762"/>
      <c r="AR1086" s="1762"/>
      <c r="AS1086" s="14"/>
      <c r="AT1086" s="68"/>
    </row>
    <row r="1087" spans="1:51" ht="12.95" customHeight="1">
      <c r="A1087" s="1"/>
      <c r="B1087" s="1"/>
      <c r="C1087" s="1350"/>
      <c r="D1087" s="1350"/>
      <c r="E1087" s="1762"/>
      <c r="F1087" s="1762"/>
      <c r="G1087" s="1762"/>
      <c r="H1087" s="1762"/>
      <c r="I1087" s="1762"/>
      <c r="J1087" s="1762"/>
      <c r="K1087" s="1762"/>
      <c r="L1087" s="1762"/>
      <c r="M1087" s="1762"/>
      <c r="N1087" s="1762"/>
      <c r="O1087" s="1762"/>
      <c r="P1087" s="1762"/>
      <c r="Q1087" s="1762"/>
      <c r="R1087" s="1762"/>
      <c r="S1087" s="1762"/>
      <c r="T1087" s="1762"/>
      <c r="U1087" s="1762"/>
      <c r="V1087" s="1762"/>
      <c r="W1087" s="1762"/>
      <c r="X1087" s="1762"/>
      <c r="Y1087" s="1762"/>
      <c r="Z1087" s="1762"/>
      <c r="AA1087" s="1762"/>
      <c r="AB1087" s="1762"/>
      <c r="AC1087" s="1762"/>
      <c r="AD1087" s="1762"/>
      <c r="AE1087" s="1762"/>
      <c r="AF1087" s="1762"/>
      <c r="AG1087" s="1762"/>
      <c r="AH1087" s="1762"/>
      <c r="AI1087" s="1762"/>
      <c r="AJ1087" s="1762"/>
      <c r="AK1087" s="1762"/>
      <c r="AL1087" s="1762"/>
      <c r="AM1087" s="1762"/>
      <c r="AN1087" s="1762"/>
      <c r="AO1087" s="1762"/>
      <c r="AP1087" s="1762"/>
      <c r="AQ1087" s="1762"/>
      <c r="AR1087" s="1762"/>
      <c r="AS1087" s="14"/>
      <c r="AT1087" s="68"/>
    </row>
    <row r="1088" spans="1:51" ht="12.95" customHeight="1">
      <c r="A1088" s="1"/>
      <c r="B1088" s="1"/>
      <c r="C1088" s="1350"/>
      <c r="D1088" s="1350"/>
      <c r="E1088" s="1762"/>
      <c r="F1088" s="1762"/>
      <c r="G1088" s="1762"/>
      <c r="H1088" s="1762"/>
      <c r="I1088" s="1762"/>
      <c r="J1088" s="1762"/>
      <c r="K1088" s="1762"/>
      <c r="L1088" s="1762"/>
      <c r="M1088" s="1762"/>
      <c r="N1088" s="1762"/>
      <c r="O1088" s="1762"/>
      <c r="P1088" s="1762"/>
      <c r="Q1088" s="1762"/>
      <c r="R1088" s="1762"/>
      <c r="S1088" s="1762"/>
      <c r="T1088" s="1762"/>
      <c r="U1088" s="1762"/>
      <c r="V1088" s="1762"/>
      <c r="W1088" s="1762"/>
      <c r="X1088" s="1762"/>
      <c r="Y1088" s="1762"/>
      <c r="Z1088" s="1762"/>
      <c r="AA1088" s="1762"/>
      <c r="AB1088" s="1762"/>
      <c r="AC1088" s="1762"/>
      <c r="AD1088" s="1762"/>
      <c r="AE1088" s="1762"/>
      <c r="AF1088" s="1762"/>
      <c r="AG1088" s="1762"/>
      <c r="AH1088" s="1762"/>
      <c r="AI1088" s="1762"/>
      <c r="AJ1088" s="1762"/>
      <c r="AK1088" s="1762"/>
      <c r="AL1088" s="1762"/>
      <c r="AM1088" s="1762"/>
      <c r="AN1088" s="1762"/>
      <c r="AO1088" s="1762"/>
      <c r="AP1088" s="1762"/>
      <c r="AQ1088" s="1762"/>
      <c r="AR1088" s="1762"/>
      <c r="AS1088" s="14"/>
      <c r="AT1088" s="68"/>
    </row>
    <row r="1089" spans="1:45" ht="12.95" customHeight="1">
      <c r="A1089" s="1"/>
      <c r="B1089" s="1"/>
      <c r="C1089" s="1350"/>
      <c r="D1089" s="135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9" t="s">
        <v>590</v>
      </c>
      <c r="B1090" s="1399"/>
      <c r="C1090" s="1350">
        <v>5</v>
      </c>
      <c r="D1090" s="1350"/>
      <c r="E1090" s="1762" t="s">
        <v>2192</v>
      </c>
      <c r="F1090" s="1762"/>
      <c r="G1090" s="1762"/>
      <c r="H1090" s="1762"/>
      <c r="I1090" s="1762"/>
      <c r="J1090" s="1762"/>
      <c r="K1090" s="1762"/>
      <c r="L1090" s="1762"/>
      <c r="M1090" s="1762"/>
      <c r="N1090" s="1762"/>
      <c r="O1090" s="1762"/>
      <c r="P1090" s="1762"/>
      <c r="Q1090" s="1762"/>
      <c r="R1090" s="1762"/>
      <c r="S1090" s="1762"/>
      <c r="T1090" s="1762"/>
      <c r="U1090" s="1762"/>
      <c r="V1090" s="1762"/>
      <c r="W1090" s="1762"/>
      <c r="X1090" s="1762"/>
      <c r="Y1090" s="1762"/>
      <c r="Z1090" s="1762"/>
      <c r="AA1090" s="1762"/>
      <c r="AB1090" s="1762"/>
      <c r="AC1090" s="1762"/>
      <c r="AD1090" s="1762"/>
      <c r="AE1090" s="1762"/>
      <c r="AF1090" s="1762"/>
      <c r="AG1090" s="1762"/>
      <c r="AH1090" s="1762"/>
      <c r="AI1090" s="1762"/>
      <c r="AJ1090" s="1762"/>
      <c r="AK1090" s="1762"/>
      <c r="AL1090" s="1762"/>
      <c r="AM1090" s="1762"/>
      <c r="AN1090" s="1762"/>
      <c r="AO1090" s="1762"/>
      <c r="AP1090" s="1762"/>
      <c r="AQ1090" s="1762"/>
      <c r="AR1090" s="1762"/>
      <c r="AS1090" s="14"/>
    </row>
    <row r="1091" spans="1:45" ht="12.95" customHeight="1">
      <c r="A1091" s="4"/>
      <c r="B1091" s="4"/>
      <c r="C1091" s="1350"/>
      <c r="D1091" s="1350"/>
      <c r="E1091" s="1762"/>
      <c r="F1091" s="1762"/>
      <c r="G1091" s="1762"/>
      <c r="H1091" s="1762"/>
      <c r="I1091" s="1762"/>
      <c r="J1091" s="1762"/>
      <c r="K1091" s="1762"/>
      <c r="L1091" s="1762"/>
      <c r="M1091" s="1762"/>
      <c r="N1091" s="1762"/>
      <c r="O1091" s="1762"/>
      <c r="P1091" s="1762"/>
      <c r="Q1091" s="1762"/>
      <c r="R1091" s="1762"/>
      <c r="S1091" s="1762"/>
      <c r="T1091" s="1762"/>
      <c r="U1091" s="1762"/>
      <c r="V1091" s="1762"/>
      <c r="W1091" s="1762"/>
      <c r="X1091" s="1762"/>
      <c r="Y1091" s="1762"/>
      <c r="Z1091" s="1762"/>
      <c r="AA1091" s="1762"/>
      <c r="AB1091" s="1762"/>
      <c r="AC1091" s="1762"/>
      <c r="AD1091" s="1762"/>
      <c r="AE1091" s="1762"/>
      <c r="AF1091" s="1762"/>
      <c r="AG1091" s="1762"/>
      <c r="AH1091" s="1762"/>
      <c r="AI1091" s="1762"/>
      <c r="AJ1091" s="1762"/>
      <c r="AK1091" s="1762"/>
      <c r="AL1091" s="1762"/>
      <c r="AM1091" s="1762"/>
      <c r="AN1091" s="1762"/>
      <c r="AO1091" s="1762"/>
      <c r="AP1091" s="1762"/>
      <c r="AQ1091" s="1762"/>
      <c r="AR1091" s="1762"/>
      <c r="AS1091" s="14"/>
    </row>
    <row r="1092" spans="1:45" ht="12.95" customHeight="1">
      <c r="A1092" s="4"/>
      <c r="B1092" s="4"/>
      <c r="C1092" s="1350"/>
      <c r="D1092" s="1350"/>
      <c r="E1092" s="1762"/>
      <c r="F1092" s="1762"/>
      <c r="G1092" s="1762"/>
      <c r="H1092" s="1762"/>
      <c r="I1092" s="1762"/>
      <c r="J1092" s="1762"/>
      <c r="K1092" s="1762"/>
      <c r="L1092" s="1762"/>
      <c r="M1092" s="1762"/>
      <c r="N1092" s="1762"/>
      <c r="O1092" s="1762"/>
      <c r="P1092" s="1762"/>
      <c r="Q1092" s="1762"/>
      <c r="R1092" s="1762"/>
      <c r="S1092" s="1762"/>
      <c r="T1092" s="1762"/>
      <c r="U1092" s="1762"/>
      <c r="V1092" s="1762"/>
      <c r="W1092" s="1762"/>
      <c r="X1092" s="1762"/>
      <c r="Y1092" s="1762"/>
      <c r="Z1092" s="1762"/>
      <c r="AA1092" s="1762"/>
      <c r="AB1092" s="1762"/>
      <c r="AC1092" s="1762"/>
      <c r="AD1092" s="1762"/>
      <c r="AE1092" s="1762"/>
      <c r="AF1092" s="1762"/>
      <c r="AG1092" s="1762"/>
      <c r="AH1092" s="1762"/>
      <c r="AI1092" s="1762"/>
      <c r="AJ1092" s="1762"/>
      <c r="AK1092" s="1762"/>
      <c r="AL1092" s="1762"/>
      <c r="AM1092" s="1762"/>
      <c r="AN1092" s="1762"/>
      <c r="AO1092" s="1762"/>
      <c r="AP1092" s="1762"/>
      <c r="AQ1092" s="1762"/>
      <c r="AR1092" s="1762"/>
      <c r="AS1092" s="14"/>
    </row>
    <row r="1093" spans="1:45" ht="12.95" customHeight="1">
      <c r="A1093" s="35"/>
      <c r="B1093" s="25"/>
      <c r="C1093" s="1350"/>
      <c r="D1093" s="135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9" t="s">
        <v>590</v>
      </c>
      <c r="B1094" s="1399"/>
      <c r="C1094" s="1350">
        <v>6</v>
      </c>
      <c r="D1094" s="1350"/>
      <c r="E1094" s="1762" t="s">
        <v>2193</v>
      </c>
      <c r="F1094" s="1762"/>
      <c r="G1094" s="1762"/>
      <c r="H1094" s="1762"/>
      <c r="I1094" s="1762"/>
      <c r="J1094" s="1762"/>
      <c r="K1094" s="1762"/>
      <c r="L1094" s="1762"/>
      <c r="M1094" s="1762"/>
      <c r="N1094" s="1762"/>
      <c r="O1094" s="1762"/>
      <c r="P1094" s="1762"/>
      <c r="Q1094" s="1762"/>
      <c r="R1094" s="1762"/>
      <c r="S1094" s="1762"/>
      <c r="T1094" s="1762"/>
      <c r="U1094" s="1762"/>
      <c r="V1094" s="1762"/>
      <c r="W1094" s="1762"/>
      <c r="X1094" s="1762"/>
      <c r="Y1094" s="1762"/>
      <c r="Z1094" s="1762"/>
      <c r="AA1094" s="1762"/>
      <c r="AB1094" s="1762"/>
      <c r="AC1094" s="1762"/>
      <c r="AD1094" s="1762"/>
      <c r="AE1094" s="1762"/>
      <c r="AF1094" s="1762"/>
      <c r="AG1094" s="1762"/>
      <c r="AH1094" s="1762"/>
      <c r="AI1094" s="1762"/>
      <c r="AJ1094" s="1762"/>
      <c r="AK1094" s="1762"/>
      <c r="AL1094" s="1762"/>
      <c r="AM1094" s="1762"/>
      <c r="AN1094" s="1762"/>
      <c r="AO1094" s="1762"/>
      <c r="AP1094" s="1762"/>
      <c r="AQ1094" s="1762"/>
      <c r="AR1094" s="1762"/>
      <c r="AS1094" s="14"/>
    </row>
    <row r="1095" spans="1:45" ht="12.95" customHeight="1">
      <c r="A1095" s="1"/>
      <c r="B1095" s="1"/>
      <c r="C1095" s="1"/>
      <c r="D1095" s="1"/>
      <c r="E1095" s="1762"/>
      <c r="F1095" s="1762"/>
      <c r="G1095" s="1762"/>
      <c r="H1095" s="1762"/>
      <c r="I1095" s="1762"/>
      <c r="J1095" s="1762"/>
      <c r="K1095" s="1762"/>
      <c r="L1095" s="1762"/>
      <c r="M1095" s="1762"/>
      <c r="N1095" s="1762"/>
      <c r="O1095" s="1762"/>
      <c r="P1095" s="1762"/>
      <c r="Q1095" s="1762"/>
      <c r="R1095" s="1762"/>
      <c r="S1095" s="1762"/>
      <c r="T1095" s="1762"/>
      <c r="U1095" s="1762"/>
      <c r="V1095" s="1762"/>
      <c r="W1095" s="1762"/>
      <c r="X1095" s="1762"/>
      <c r="Y1095" s="1762"/>
      <c r="Z1095" s="1762"/>
      <c r="AA1095" s="1762"/>
      <c r="AB1095" s="1762"/>
      <c r="AC1095" s="1762"/>
      <c r="AD1095" s="1762"/>
      <c r="AE1095" s="1762"/>
      <c r="AF1095" s="1762"/>
      <c r="AG1095" s="1762"/>
      <c r="AH1095" s="1762"/>
      <c r="AI1095" s="1762"/>
      <c r="AJ1095" s="1762"/>
      <c r="AK1095" s="1762"/>
      <c r="AL1095" s="1762"/>
      <c r="AM1095" s="1762"/>
      <c r="AN1095" s="1762"/>
      <c r="AO1095" s="1762"/>
      <c r="AP1095" s="1762"/>
      <c r="AQ1095" s="1762"/>
      <c r="AR1095" s="1762"/>
      <c r="AS1095" s="14"/>
    </row>
    <row r="1096" spans="1:45" ht="12.95" customHeight="1">
      <c r="A1096" s="1"/>
      <c r="B1096" s="1"/>
      <c r="C1096" s="1350"/>
      <c r="D1096" s="1350"/>
      <c r="E1096" s="1762"/>
      <c r="F1096" s="1762"/>
      <c r="G1096" s="1762"/>
      <c r="H1096" s="1762"/>
      <c r="I1096" s="1762"/>
      <c r="J1096" s="1762"/>
      <c r="K1096" s="1762"/>
      <c r="L1096" s="1762"/>
      <c r="M1096" s="1762"/>
      <c r="N1096" s="1762"/>
      <c r="O1096" s="1762"/>
      <c r="P1096" s="1762"/>
      <c r="Q1096" s="1762"/>
      <c r="R1096" s="1762"/>
      <c r="S1096" s="1762"/>
      <c r="T1096" s="1762"/>
      <c r="U1096" s="1762"/>
      <c r="V1096" s="1762"/>
      <c r="W1096" s="1762"/>
      <c r="X1096" s="1762"/>
      <c r="Y1096" s="1762"/>
      <c r="Z1096" s="1762"/>
      <c r="AA1096" s="1762"/>
      <c r="AB1096" s="1762"/>
      <c r="AC1096" s="1762"/>
      <c r="AD1096" s="1762"/>
      <c r="AE1096" s="1762"/>
      <c r="AF1096" s="1762"/>
      <c r="AG1096" s="1762"/>
      <c r="AH1096" s="1762"/>
      <c r="AI1096" s="1762"/>
      <c r="AJ1096" s="1762"/>
      <c r="AK1096" s="1762"/>
      <c r="AL1096" s="1762"/>
      <c r="AM1096" s="1762"/>
      <c r="AN1096" s="1762"/>
      <c r="AO1096" s="1762"/>
      <c r="AP1096" s="1762"/>
      <c r="AQ1096" s="1762"/>
      <c r="AR1096" s="1762"/>
      <c r="AS1096" s="14"/>
    </row>
    <row r="1097" spans="1:45" ht="12.95" customHeight="1">
      <c r="A1097" s="35"/>
      <c r="B1097" s="25"/>
      <c r="C1097" s="1350"/>
      <c r="D1097" s="135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9" t="s">
        <v>590</v>
      </c>
      <c r="B1098" s="1399"/>
      <c r="C1098" s="1350">
        <v>7</v>
      </c>
      <c r="D1098" s="1350"/>
      <c r="E1098" s="1762" t="s">
        <v>2091</v>
      </c>
      <c r="F1098" s="1762"/>
      <c r="G1098" s="1762"/>
      <c r="H1098" s="1762"/>
      <c r="I1098" s="1762"/>
      <c r="J1098" s="1762"/>
      <c r="K1098" s="1762"/>
      <c r="L1098" s="1762"/>
      <c r="M1098" s="1762"/>
      <c r="N1098" s="1762"/>
      <c r="O1098" s="1762"/>
      <c r="P1098" s="1762"/>
      <c r="Q1098" s="1762"/>
      <c r="R1098" s="1762"/>
      <c r="S1098" s="1762"/>
      <c r="T1098" s="1762"/>
      <c r="U1098" s="1762"/>
      <c r="V1098" s="1762"/>
      <c r="W1098" s="1762"/>
      <c r="X1098" s="1762"/>
      <c r="Y1098" s="1762"/>
      <c r="Z1098" s="1762"/>
      <c r="AA1098" s="1762"/>
      <c r="AB1098" s="1762"/>
      <c r="AC1098" s="1762"/>
      <c r="AD1098" s="1762"/>
      <c r="AE1098" s="1762"/>
      <c r="AF1098" s="1762"/>
      <c r="AG1098" s="1762"/>
      <c r="AH1098" s="1762"/>
      <c r="AI1098" s="1762"/>
      <c r="AJ1098" s="1762"/>
      <c r="AK1098" s="1762"/>
      <c r="AL1098" s="1762"/>
      <c r="AM1098" s="1762"/>
      <c r="AN1098" s="1762"/>
      <c r="AO1098" s="1762"/>
      <c r="AP1098" s="1762"/>
      <c r="AQ1098" s="1762"/>
      <c r="AR1098" s="1762"/>
      <c r="AS1098" s="14"/>
    </row>
    <row r="1099" spans="1:45" ht="12.95" customHeight="1">
      <c r="A1099" s="1"/>
      <c r="B1099" s="1"/>
      <c r="C1099" s="1350"/>
      <c r="D1099" s="1350"/>
      <c r="E1099" s="1762"/>
      <c r="F1099" s="1762"/>
      <c r="G1099" s="1762"/>
      <c r="H1099" s="1762"/>
      <c r="I1099" s="1762"/>
      <c r="J1099" s="1762"/>
      <c r="K1099" s="1762"/>
      <c r="L1099" s="1762"/>
      <c r="M1099" s="1762"/>
      <c r="N1099" s="1762"/>
      <c r="O1099" s="1762"/>
      <c r="P1099" s="1762"/>
      <c r="Q1099" s="1762"/>
      <c r="R1099" s="1762"/>
      <c r="S1099" s="1762"/>
      <c r="T1099" s="1762"/>
      <c r="U1099" s="1762"/>
      <c r="V1099" s="1762"/>
      <c r="W1099" s="1762"/>
      <c r="X1099" s="1762"/>
      <c r="Y1099" s="1762"/>
      <c r="Z1099" s="1762"/>
      <c r="AA1099" s="1762"/>
      <c r="AB1099" s="1762"/>
      <c r="AC1099" s="1762"/>
      <c r="AD1099" s="1762"/>
      <c r="AE1099" s="1762"/>
      <c r="AF1099" s="1762"/>
      <c r="AG1099" s="1762"/>
      <c r="AH1099" s="1762"/>
      <c r="AI1099" s="1762"/>
      <c r="AJ1099" s="1762"/>
      <c r="AK1099" s="1762"/>
      <c r="AL1099" s="1762"/>
      <c r="AM1099" s="1762"/>
      <c r="AN1099" s="1762"/>
      <c r="AO1099" s="1762"/>
      <c r="AP1099" s="1762"/>
      <c r="AQ1099" s="1762"/>
      <c r="AR1099" s="1762"/>
      <c r="AS1099" s="14"/>
    </row>
    <row r="1100" spans="1:45" ht="12.95" customHeight="1">
      <c r="A1100" s="1"/>
      <c r="B1100" s="1"/>
      <c r="C1100" s="1350"/>
      <c r="D1100" s="1350"/>
      <c r="E1100" s="1762"/>
      <c r="F1100" s="1762"/>
      <c r="G1100" s="1762"/>
      <c r="H1100" s="1762"/>
      <c r="I1100" s="1762"/>
      <c r="J1100" s="1762"/>
      <c r="K1100" s="1762"/>
      <c r="L1100" s="1762"/>
      <c r="M1100" s="1762"/>
      <c r="N1100" s="1762"/>
      <c r="O1100" s="1762"/>
      <c r="P1100" s="1762"/>
      <c r="Q1100" s="1762"/>
      <c r="R1100" s="1762"/>
      <c r="S1100" s="1762"/>
      <c r="T1100" s="1762"/>
      <c r="U1100" s="1762"/>
      <c r="V1100" s="1762"/>
      <c r="W1100" s="1762"/>
      <c r="X1100" s="1762"/>
      <c r="Y1100" s="1762"/>
      <c r="Z1100" s="1762"/>
      <c r="AA1100" s="1762"/>
      <c r="AB1100" s="1762"/>
      <c r="AC1100" s="1762"/>
      <c r="AD1100" s="1762"/>
      <c r="AE1100" s="1762"/>
      <c r="AF1100" s="1762"/>
      <c r="AG1100" s="1762"/>
      <c r="AH1100" s="1762"/>
      <c r="AI1100" s="1762"/>
      <c r="AJ1100" s="1762"/>
      <c r="AK1100" s="1762"/>
      <c r="AL1100" s="1762"/>
      <c r="AM1100" s="1762"/>
      <c r="AN1100" s="1762"/>
      <c r="AO1100" s="1762"/>
      <c r="AP1100" s="1762"/>
      <c r="AQ1100" s="1762"/>
      <c r="AR1100" s="1762"/>
      <c r="AS1100" s="14"/>
    </row>
    <row r="1101" spans="1:45" ht="12.95" customHeight="1">
      <c r="A1101" s="1"/>
      <c r="B1101" s="1"/>
      <c r="C1101" s="1350"/>
      <c r="D1101" s="135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0"/>
      <c r="D1102" s="135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9" t="s">
        <v>590</v>
      </c>
      <c r="B1103" s="1399"/>
      <c r="C1103" s="1350">
        <v>8</v>
      </c>
      <c r="D1103" s="1350"/>
      <c r="E1103" s="1762" t="s">
        <v>1071</v>
      </c>
      <c r="F1103" s="1762"/>
      <c r="G1103" s="1762"/>
      <c r="H1103" s="1762"/>
      <c r="I1103" s="1762"/>
      <c r="J1103" s="1762"/>
      <c r="K1103" s="1762"/>
      <c r="L1103" s="1762"/>
      <c r="M1103" s="1762"/>
      <c r="N1103" s="1762"/>
      <c r="O1103" s="1762"/>
      <c r="P1103" s="1762"/>
      <c r="Q1103" s="1762"/>
      <c r="R1103" s="1762"/>
      <c r="S1103" s="1762"/>
      <c r="T1103" s="1762"/>
      <c r="U1103" s="1762"/>
      <c r="V1103" s="1762"/>
      <c r="W1103" s="1762"/>
      <c r="X1103" s="1762"/>
      <c r="Y1103" s="1762"/>
      <c r="Z1103" s="1762"/>
      <c r="AA1103" s="1762"/>
      <c r="AB1103" s="1762"/>
      <c r="AC1103" s="1762"/>
      <c r="AD1103" s="1762"/>
      <c r="AE1103" s="1762"/>
      <c r="AF1103" s="1762"/>
      <c r="AG1103" s="1762"/>
      <c r="AH1103" s="1762"/>
      <c r="AI1103" s="1762"/>
      <c r="AJ1103" s="1762"/>
      <c r="AK1103" s="1762"/>
      <c r="AL1103" s="1762"/>
      <c r="AM1103" s="1762"/>
      <c r="AN1103" s="1762"/>
      <c r="AO1103" s="1762"/>
      <c r="AP1103" s="1762"/>
      <c r="AQ1103" s="1762"/>
      <c r="AR1103" s="1762"/>
    </row>
    <row r="1104" spans="1:45" ht="12.95" customHeight="1">
      <c r="A1104" s="35"/>
      <c r="B1104" s="25"/>
      <c r="C1104" s="1350"/>
      <c r="D1104" s="1350"/>
      <c r="E1104" s="1762"/>
      <c r="F1104" s="1762"/>
      <c r="G1104" s="1762"/>
      <c r="H1104" s="1762"/>
      <c r="I1104" s="1762"/>
      <c r="J1104" s="1762"/>
      <c r="K1104" s="1762"/>
      <c r="L1104" s="1762"/>
      <c r="M1104" s="1762"/>
      <c r="N1104" s="1762"/>
      <c r="O1104" s="1762"/>
      <c r="P1104" s="1762"/>
      <c r="Q1104" s="1762"/>
      <c r="R1104" s="1762"/>
      <c r="S1104" s="1762"/>
      <c r="T1104" s="1762"/>
      <c r="U1104" s="1762"/>
      <c r="V1104" s="1762"/>
      <c r="W1104" s="1762"/>
      <c r="X1104" s="1762"/>
      <c r="Y1104" s="1762"/>
      <c r="Z1104" s="1762"/>
      <c r="AA1104" s="1762"/>
      <c r="AB1104" s="1762"/>
      <c r="AC1104" s="1762"/>
      <c r="AD1104" s="1762"/>
      <c r="AE1104" s="1762"/>
      <c r="AF1104" s="1762"/>
      <c r="AG1104" s="1762"/>
      <c r="AH1104" s="1762"/>
      <c r="AI1104" s="1762"/>
      <c r="AJ1104" s="1762"/>
      <c r="AK1104" s="1762"/>
      <c r="AL1104" s="1762"/>
      <c r="AM1104" s="1762"/>
      <c r="AN1104" s="1762"/>
      <c r="AO1104" s="1762"/>
      <c r="AP1104" s="1762"/>
      <c r="AQ1104" s="1762"/>
      <c r="AR1104" s="1762"/>
    </row>
    <row r="1105" spans="1:44" ht="12.95" customHeight="1">
      <c r="A1105" s="35"/>
      <c r="B1105" s="25"/>
      <c r="C1105" s="1350"/>
      <c r="D1105" s="135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9" t="s">
        <v>590</v>
      </c>
      <c r="B1106" s="1399"/>
      <c r="C1106" s="1797">
        <v>9</v>
      </c>
      <c r="D1106" s="1797"/>
      <c r="E1106" s="1762" t="s">
        <v>1073</v>
      </c>
      <c r="F1106" s="1762"/>
      <c r="G1106" s="1762"/>
      <c r="H1106" s="1762"/>
      <c r="I1106" s="1762"/>
      <c r="J1106" s="1762"/>
      <c r="K1106" s="1762"/>
      <c r="L1106" s="1762"/>
      <c r="M1106" s="1762"/>
      <c r="N1106" s="1762"/>
      <c r="O1106" s="1762"/>
      <c r="P1106" s="1762"/>
      <c r="Q1106" s="1762"/>
      <c r="R1106" s="1762"/>
      <c r="S1106" s="1762"/>
      <c r="T1106" s="1762"/>
      <c r="U1106" s="1762"/>
      <c r="V1106" s="1762"/>
      <c r="W1106" s="1762"/>
      <c r="X1106" s="1762"/>
      <c r="Y1106" s="1762"/>
      <c r="Z1106" s="1762"/>
      <c r="AA1106" s="1762"/>
      <c r="AB1106" s="1762"/>
      <c r="AC1106" s="1762"/>
      <c r="AD1106" s="1762"/>
      <c r="AE1106" s="1762"/>
      <c r="AF1106" s="1762"/>
      <c r="AG1106" s="1762"/>
      <c r="AH1106" s="1762"/>
      <c r="AI1106" s="1762"/>
      <c r="AJ1106" s="1762"/>
      <c r="AK1106" s="1762"/>
      <c r="AL1106" s="1762"/>
      <c r="AM1106" s="1762"/>
      <c r="AN1106" s="1762"/>
      <c r="AO1106" s="1762"/>
      <c r="AP1106" s="1762"/>
      <c r="AQ1106" s="1762"/>
      <c r="AR1106" s="1762"/>
    </row>
    <row r="1107" spans="1:44" ht="12.95" customHeight="1">
      <c r="A1107" s="1"/>
      <c r="B1107" s="1"/>
      <c r="C1107" s="1797"/>
      <c r="D1107" s="1797"/>
      <c r="E1107" s="1762"/>
      <c r="F1107" s="1762"/>
      <c r="G1107" s="1762"/>
      <c r="H1107" s="1762"/>
      <c r="I1107" s="1762"/>
      <c r="J1107" s="1762"/>
      <c r="K1107" s="1762"/>
      <c r="L1107" s="1762"/>
      <c r="M1107" s="1762"/>
      <c r="N1107" s="1762"/>
      <c r="O1107" s="1762"/>
      <c r="P1107" s="1762"/>
      <c r="Q1107" s="1762"/>
      <c r="R1107" s="1762"/>
      <c r="S1107" s="1762"/>
      <c r="T1107" s="1762"/>
      <c r="U1107" s="1762"/>
      <c r="V1107" s="1762"/>
      <c r="W1107" s="1762"/>
      <c r="X1107" s="1762"/>
      <c r="Y1107" s="1762"/>
      <c r="Z1107" s="1762"/>
      <c r="AA1107" s="1762"/>
      <c r="AB1107" s="1762"/>
      <c r="AC1107" s="1762"/>
      <c r="AD1107" s="1762"/>
      <c r="AE1107" s="1762"/>
      <c r="AF1107" s="1762"/>
      <c r="AG1107" s="1762"/>
      <c r="AH1107" s="1762"/>
      <c r="AI1107" s="1762"/>
      <c r="AJ1107" s="1762"/>
      <c r="AK1107" s="1762"/>
      <c r="AL1107" s="1762"/>
      <c r="AM1107" s="1762"/>
      <c r="AN1107" s="1762"/>
      <c r="AO1107" s="1762"/>
      <c r="AP1107" s="1762"/>
      <c r="AQ1107" s="1762"/>
      <c r="AR1107" s="1762"/>
    </row>
    <row r="1108" spans="1:44" ht="12.95" customHeight="1">
      <c r="A1108" s="35"/>
      <c r="B1108" s="25"/>
      <c r="C1108" s="1797"/>
      <c r="D1108" s="179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9" t="s">
        <v>590</v>
      </c>
      <c r="B1109" s="1399"/>
      <c r="C1109" s="1797">
        <v>10</v>
      </c>
      <c r="D1109" s="1797"/>
      <c r="E1109" s="1801" t="s">
        <v>2190</v>
      </c>
      <c r="F1109" s="1801"/>
      <c r="G1109" s="1801"/>
      <c r="H1109" s="1801"/>
      <c r="I1109" s="1801"/>
      <c r="J1109" s="1801"/>
      <c r="K1109" s="1801"/>
      <c r="L1109" s="1801"/>
      <c r="M1109" s="1801"/>
      <c r="N1109" s="1801"/>
      <c r="O1109" s="1801"/>
      <c r="P1109" s="1801"/>
      <c r="Q1109" s="1801"/>
      <c r="R1109" s="1801"/>
      <c r="S1109" s="1801"/>
      <c r="T1109" s="1801"/>
      <c r="U1109" s="1801"/>
      <c r="V1109" s="1801"/>
      <c r="W1109" s="1801"/>
      <c r="X1109" s="1801"/>
      <c r="Y1109" s="1801"/>
      <c r="Z1109" s="1801"/>
      <c r="AA1109" s="1801"/>
      <c r="AB1109" s="1801"/>
      <c r="AC1109" s="1801"/>
      <c r="AD1109" s="1801"/>
      <c r="AE1109" s="1801"/>
      <c r="AF1109" s="1801"/>
      <c r="AG1109" s="1801"/>
      <c r="AH1109" s="1801"/>
      <c r="AI1109" s="1801"/>
      <c r="AJ1109" s="1801"/>
      <c r="AK1109" s="1801"/>
      <c r="AL1109" s="1801"/>
      <c r="AM1109" s="1801"/>
      <c r="AN1109" s="1801"/>
      <c r="AO1109" s="1801"/>
      <c r="AP1109" s="1801"/>
      <c r="AQ1109" s="1801"/>
      <c r="AR1109" s="1801"/>
    </row>
    <row r="1110" spans="1:44" ht="12.95" customHeight="1">
      <c r="A1110" s="1"/>
      <c r="B1110" s="1"/>
      <c r="C1110" s="199"/>
      <c r="D1110" s="1154"/>
      <c r="E1110" s="1801"/>
      <c r="F1110" s="1801"/>
      <c r="G1110" s="1801"/>
      <c r="H1110" s="1801"/>
      <c r="I1110" s="1801"/>
      <c r="J1110" s="1801"/>
      <c r="K1110" s="1801"/>
      <c r="L1110" s="1801"/>
      <c r="M1110" s="1801"/>
      <c r="N1110" s="1801"/>
      <c r="O1110" s="1801"/>
      <c r="P1110" s="1801"/>
      <c r="Q1110" s="1801"/>
      <c r="R1110" s="1801"/>
      <c r="S1110" s="1801"/>
      <c r="T1110" s="1801"/>
      <c r="U1110" s="1801"/>
      <c r="V1110" s="1801"/>
      <c r="W1110" s="1801"/>
      <c r="X1110" s="1801"/>
      <c r="Y1110" s="1801"/>
      <c r="Z1110" s="1801"/>
      <c r="AA1110" s="1801"/>
      <c r="AB1110" s="1801"/>
      <c r="AC1110" s="1801"/>
      <c r="AD1110" s="1801"/>
      <c r="AE1110" s="1801"/>
      <c r="AF1110" s="1801"/>
      <c r="AG1110" s="1801"/>
      <c r="AH1110" s="1801"/>
      <c r="AI1110" s="1801"/>
      <c r="AJ1110" s="1801"/>
      <c r="AK1110" s="1801"/>
      <c r="AL1110" s="1801"/>
      <c r="AM1110" s="1801"/>
      <c r="AN1110" s="1801"/>
      <c r="AO1110" s="1801"/>
      <c r="AP1110" s="1801"/>
      <c r="AQ1110" s="1801"/>
      <c r="AR1110" s="1801"/>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9" t="s">
        <v>590</v>
      </c>
      <c r="B1112" s="1399"/>
      <c r="C1112" s="1797">
        <v>11</v>
      </c>
      <c r="D1112" s="1797"/>
      <c r="E1112" s="1801" t="s">
        <v>2191</v>
      </c>
      <c r="F1112" s="1801"/>
      <c r="G1112" s="1801"/>
      <c r="H1112" s="1801"/>
      <c r="I1112" s="1801"/>
      <c r="J1112" s="1801"/>
      <c r="K1112" s="1801"/>
      <c r="L1112" s="1801"/>
      <c r="M1112" s="1801"/>
      <c r="N1112" s="1801"/>
      <c r="O1112" s="1801"/>
      <c r="P1112" s="1801"/>
      <c r="Q1112" s="1801"/>
      <c r="R1112" s="1801"/>
      <c r="S1112" s="1801"/>
      <c r="T1112" s="1801"/>
      <c r="U1112" s="1801"/>
      <c r="V1112" s="1801"/>
      <c r="W1112" s="1801"/>
      <c r="X1112" s="1801"/>
      <c r="Y1112" s="1801"/>
      <c r="Z1112" s="1801"/>
      <c r="AA1112" s="1801"/>
      <c r="AB1112" s="1801"/>
      <c r="AC1112" s="1801"/>
      <c r="AD1112" s="1801"/>
      <c r="AE1112" s="1801"/>
      <c r="AF1112" s="1801"/>
      <c r="AG1112" s="1801"/>
      <c r="AH1112" s="1801"/>
      <c r="AI1112" s="1801"/>
      <c r="AJ1112" s="1801"/>
      <c r="AK1112" s="1801"/>
      <c r="AL1112" s="1801"/>
      <c r="AM1112" s="1801"/>
      <c r="AN1112" s="1801"/>
      <c r="AO1112" s="1801"/>
      <c r="AP1112" s="1801"/>
      <c r="AQ1112" s="1801"/>
      <c r="AR1112" s="1801"/>
    </row>
    <row r="1113" spans="1:44" ht="12.95" customHeight="1">
      <c r="A1113" s="1"/>
      <c r="B1113" s="1"/>
      <c r="C1113" s="199"/>
      <c r="D1113" s="1154"/>
      <c r="E1113" s="1801"/>
      <c r="F1113" s="1801"/>
      <c r="G1113" s="1801"/>
      <c r="H1113" s="1801"/>
      <c r="I1113" s="1801"/>
      <c r="J1113" s="1801"/>
      <c r="K1113" s="1801"/>
      <c r="L1113" s="1801"/>
      <c r="M1113" s="1801"/>
      <c r="N1113" s="1801"/>
      <c r="O1113" s="1801"/>
      <c r="P1113" s="1801"/>
      <c r="Q1113" s="1801"/>
      <c r="R1113" s="1801"/>
      <c r="S1113" s="1801"/>
      <c r="T1113" s="1801"/>
      <c r="U1113" s="1801"/>
      <c r="V1113" s="1801"/>
      <c r="W1113" s="1801"/>
      <c r="X1113" s="1801"/>
      <c r="Y1113" s="1801"/>
      <c r="Z1113" s="1801"/>
      <c r="AA1113" s="1801"/>
      <c r="AB1113" s="1801"/>
      <c r="AC1113" s="1801"/>
      <c r="AD1113" s="1801"/>
      <c r="AE1113" s="1801"/>
      <c r="AF1113" s="1801"/>
      <c r="AG1113" s="1801"/>
      <c r="AH1113" s="1801"/>
      <c r="AI1113" s="1801"/>
      <c r="AJ1113" s="1801"/>
      <c r="AK1113" s="1801"/>
      <c r="AL1113" s="1801"/>
      <c r="AM1113" s="1801"/>
      <c r="AN1113" s="1801"/>
      <c r="AO1113" s="1801"/>
      <c r="AP1113" s="1801"/>
      <c r="AQ1113" s="1801"/>
      <c r="AR1113" s="1801"/>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9" t="s">
        <v>590</v>
      </c>
      <c r="B1134" s="1399"/>
      <c r="C1134" s="199">
        <v>9</v>
      </c>
      <c r="D1134" s="1479" t="s">
        <v>1072</v>
      </c>
      <c r="E1134" s="1479"/>
      <c r="F1134" s="1479"/>
      <c r="G1134" s="1479"/>
      <c r="H1134" s="1479"/>
      <c r="I1134" s="1479"/>
      <c r="J1134" s="1479"/>
      <c r="K1134" s="1479"/>
      <c r="L1134" s="1479"/>
      <c r="M1134" s="1479"/>
      <c r="N1134" s="1479"/>
      <c r="O1134" s="1479"/>
      <c r="P1134" s="1479"/>
      <c r="Q1134" s="1479"/>
      <c r="R1134" s="1479"/>
      <c r="S1134" s="1479"/>
      <c r="T1134" s="1479"/>
      <c r="U1134" s="1479"/>
      <c r="V1134" s="1479"/>
      <c r="W1134" s="1479"/>
      <c r="X1134" s="1479"/>
      <c r="Y1134" s="1479"/>
      <c r="Z1134" s="1479"/>
      <c r="AA1134" s="1479"/>
      <c r="AB1134" s="1479"/>
      <c r="AC1134" s="1479"/>
      <c r="AD1134" s="1479"/>
      <c r="AE1134" s="1479"/>
      <c r="AF1134" s="1479"/>
      <c r="AG1134" s="1479"/>
      <c r="AH1134" s="1479"/>
      <c r="AI1134" s="1479"/>
      <c r="AJ1134" s="1479"/>
      <c r="AK1134" s="1479"/>
    </row>
    <row r="1135" spans="1:37" ht="0" hidden="1" customHeight="1">
      <c r="A1135" s="35"/>
      <c r="B1135" s="25"/>
      <c r="C1135" s="199"/>
      <c r="D1135" s="1479"/>
      <c r="E1135" s="1479"/>
      <c r="F1135" s="1479"/>
      <c r="G1135" s="1479"/>
      <c r="H1135" s="1479"/>
      <c r="I1135" s="1479"/>
      <c r="J1135" s="1479"/>
      <c r="K1135" s="1479"/>
      <c r="L1135" s="1479"/>
      <c r="M1135" s="1479"/>
      <c r="N1135" s="1479"/>
      <c r="O1135" s="1479"/>
      <c r="P1135" s="1479"/>
      <c r="Q1135" s="1479"/>
      <c r="R1135" s="1479"/>
      <c r="S1135" s="1479"/>
      <c r="T1135" s="1479"/>
      <c r="U1135" s="1479"/>
      <c r="V1135" s="1479"/>
      <c r="W1135" s="1479"/>
      <c r="X1135" s="1479"/>
      <c r="Y1135" s="1479"/>
      <c r="Z1135" s="1479"/>
      <c r="AA1135" s="1479"/>
      <c r="AB1135" s="1479"/>
      <c r="AC1135" s="1479"/>
      <c r="AD1135" s="1479"/>
      <c r="AE1135" s="1479"/>
      <c r="AF1135" s="1479"/>
      <c r="AG1135" s="1479"/>
      <c r="AH1135" s="1479"/>
      <c r="AI1135" s="1479"/>
      <c r="AJ1135" s="1479"/>
      <c r="AK1135" s="1479"/>
    </row>
    <row r="1136" spans="1:37" ht="0" hidden="1" customHeight="1">
      <c r="D1136" s="1479"/>
      <c r="E1136" s="1479"/>
      <c r="F1136" s="1479"/>
      <c r="G1136" s="1479"/>
      <c r="H1136" s="1479"/>
      <c r="I1136" s="1479"/>
      <c r="J1136" s="1479"/>
      <c r="K1136" s="1479"/>
      <c r="L1136" s="1479"/>
      <c r="M1136" s="1479"/>
      <c r="N1136" s="1479"/>
      <c r="O1136" s="1479"/>
      <c r="P1136" s="1479"/>
      <c r="Q1136" s="1479"/>
      <c r="R1136" s="1479"/>
      <c r="S1136" s="1479"/>
      <c r="T1136" s="1479"/>
      <c r="U1136" s="1479"/>
      <c r="V1136" s="1479"/>
      <c r="W1136" s="1479"/>
      <c r="X1136" s="1479"/>
      <c r="Y1136" s="1479"/>
      <c r="Z1136" s="1479"/>
      <c r="AA1136" s="1479"/>
      <c r="AB1136" s="1479"/>
      <c r="AC1136" s="1479"/>
      <c r="AD1136" s="1479"/>
      <c r="AE1136" s="1479"/>
      <c r="AF1136" s="1479"/>
      <c r="AG1136" s="1479"/>
      <c r="AH1136" s="1479"/>
      <c r="AI1136" s="1479"/>
      <c r="AJ1136" s="1479"/>
      <c r="AK1136" s="147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9:AE1009"/>
    <mergeCell ref="D1011:AE1015"/>
    <mergeCell ref="D1020:AE1020"/>
    <mergeCell ref="D1021:AE1021"/>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3:D1093"/>
    <mergeCell ref="C1094:D1094"/>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B734:F734"/>
    <mergeCell ref="B748:F748"/>
    <mergeCell ref="AH745:AJ745"/>
    <mergeCell ref="AH746:AJ746"/>
    <mergeCell ref="AH744:AJ744"/>
    <mergeCell ref="D1003:AE1003"/>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AM567:AS567"/>
    <mergeCell ref="AK638:AN638"/>
    <mergeCell ref="AM570:AS570"/>
    <mergeCell ref="T569:V569"/>
    <mergeCell ref="AK632:AN634"/>
    <mergeCell ref="C638:L638"/>
    <mergeCell ref="G578:R578"/>
    <mergeCell ref="Z569:AD569"/>
    <mergeCell ref="G594:R594"/>
    <mergeCell ref="W568:Y568"/>
    <mergeCell ref="P580:R580"/>
    <mergeCell ref="AI613:AK613"/>
    <mergeCell ref="G612:R612"/>
    <mergeCell ref="G585:R5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Q640:S640"/>
    <mergeCell ref="AE567:AH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M573:P573"/>
    <mergeCell ref="Q566:S566"/>
    <mergeCell ref="AH520:AK520"/>
    <mergeCell ref="M565:P565"/>
    <mergeCell ref="AH528:AK52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CU783:CY783"/>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E758:DI758"/>
    <mergeCell ref="DJ758:DN758"/>
    <mergeCell ref="EO740:ES740"/>
    <mergeCell ref="ET737:EX737"/>
    <mergeCell ref="EJ747:EN747"/>
    <mergeCell ref="DJ746:DN746"/>
    <mergeCell ref="EO745:ES745"/>
    <mergeCell ref="EO748:ES748"/>
    <mergeCell ref="EJ725:EN725"/>
    <mergeCell ref="DX655:EB655"/>
    <mergeCell ref="CZ754:DD754"/>
    <mergeCell ref="CP761:CT761"/>
    <mergeCell ref="EE745:EI745"/>
    <mergeCell ref="DU746:DY746"/>
    <mergeCell ref="DZ746:ED746"/>
    <mergeCell ref="EE746:EI746"/>
    <mergeCell ref="DE745:DI745"/>
    <mergeCell ref="CZ783:DD783"/>
    <mergeCell ref="CZ784:DD784"/>
    <mergeCell ref="DE755:DI755"/>
    <mergeCell ref="DO758:DS758"/>
    <mergeCell ref="DJ753:DN753"/>
    <mergeCell ref="DO753:DS753"/>
    <mergeCell ref="DE757:DI757"/>
    <mergeCell ref="DJ757:DN757"/>
    <mergeCell ref="DO757:DS757"/>
    <mergeCell ref="CZ756:DD756"/>
    <mergeCell ref="DE756:DI756"/>
    <mergeCell ref="DJ756:DN756"/>
    <mergeCell ref="DO756:DS756"/>
    <mergeCell ref="DU758:DY758"/>
    <mergeCell ref="DZ758:ED758"/>
    <mergeCell ref="EE758:EI758"/>
    <mergeCell ref="CU751:CY751"/>
    <mergeCell ref="CZ751:DD751"/>
    <mergeCell ref="CP756:CT756"/>
    <mergeCell ref="CU756:CY756"/>
    <mergeCell ref="CU755:CY755"/>
    <mergeCell ref="CZ746:DD746"/>
    <mergeCell ref="CU745:CY745"/>
    <mergeCell ref="FE761:FI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DO748:DS748"/>
    <mergeCell ref="DJ748:DN748"/>
    <mergeCell ref="DO762:DS762"/>
    <mergeCell ref="DE761:DI761"/>
    <mergeCell ref="DO759:DS759"/>
    <mergeCell ref="DO760:DS760"/>
    <mergeCell ref="DE759:DI759"/>
    <mergeCell ref="EE760:EI760"/>
    <mergeCell ref="EO761:ES761"/>
    <mergeCell ref="EJ748:EN748"/>
    <mergeCell ref="EO753:ES753"/>
    <mergeCell ref="DE752:DI752"/>
    <mergeCell ref="DZ761:ED761"/>
    <mergeCell ref="ET760:EX760"/>
    <mergeCell ref="EE761:EI761"/>
    <mergeCell ref="DJ784:DN784"/>
    <mergeCell ref="DO784:DS784"/>
    <mergeCell ref="DO783:DS783"/>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EJ761:EN761"/>
    <mergeCell ref="CI761:CJ761"/>
    <mergeCell ref="CK759:CL759"/>
    <mergeCell ref="CP783:CT783"/>
    <mergeCell ref="CP784:CT784"/>
    <mergeCell ref="DZ745:ED745"/>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DE784:DI784"/>
    <mergeCell ref="DO782:DS782"/>
    <mergeCell ref="DU761:DY761"/>
    <mergeCell ref="EZ734:FD734"/>
    <mergeCell ref="DO738:DS738"/>
    <mergeCell ref="EJ745:EN745"/>
    <mergeCell ref="DZ744:ED744"/>
    <mergeCell ref="EE744:EI744"/>
    <mergeCell ref="EJ744:EN744"/>
    <mergeCell ref="EZ760:FD760"/>
    <mergeCell ref="DJ761:DN761"/>
    <mergeCell ref="DE748:DI748"/>
    <mergeCell ref="DU748:DY748"/>
    <mergeCell ref="DZ748:ED748"/>
    <mergeCell ref="EE748:EI748"/>
    <mergeCell ref="ER669:EV669"/>
    <mergeCell ref="EO746:ES746"/>
    <mergeCell ref="DE746:DI746"/>
    <mergeCell ref="EW669:FA669"/>
    <mergeCell ref="EM670:EQ670"/>
    <mergeCell ref="ER670:EV670"/>
    <mergeCell ref="DU735:DY735"/>
    <mergeCell ref="DU745:DY745"/>
    <mergeCell ref="DU743:DY743"/>
    <mergeCell ref="DO745:DS745"/>
    <mergeCell ref="ER657:EV657"/>
    <mergeCell ref="DJ728:DN728"/>
    <mergeCell ref="DJ725:DN725"/>
    <mergeCell ref="DJ730:DN730"/>
    <mergeCell ref="EH665:EL665"/>
    <mergeCell ref="EM665:EQ665"/>
    <mergeCell ref="ET725:EX725"/>
    <mergeCell ref="EE737:EI737"/>
    <mergeCell ref="EE733:EI733"/>
    <mergeCell ref="DO728:DS728"/>
    <mergeCell ref="DO730:DS730"/>
    <mergeCell ref="ER677:EV677"/>
    <mergeCell ref="ER676:EV676"/>
    <mergeCell ref="EW662:FA662"/>
    <mergeCell ref="EW659:FA659"/>
    <mergeCell ref="EW657:FA657"/>
    <mergeCell ref="EM677:EQ677"/>
    <mergeCell ref="EH661:EL661"/>
    <mergeCell ref="EM661:EQ661"/>
    <mergeCell ref="ER661:EV661"/>
    <mergeCell ref="DO729:DS729"/>
    <mergeCell ref="EJ743:EN743"/>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M657:EQ657"/>
    <mergeCell ref="EM662:EQ662"/>
    <mergeCell ref="ER662:EV662"/>
    <mergeCell ref="EH650:EL650"/>
    <mergeCell ref="EM650:EQ650"/>
    <mergeCell ref="ER650:EV650"/>
    <mergeCell ref="EM660:EQ660"/>
    <mergeCell ref="DX658:EB658"/>
    <mergeCell ref="EC658:EG658"/>
    <mergeCell ref="EW648:FA648"/>
    <mergeCell ref="ER651:EV651"/>
    <mergeCell ref="ER648:EV648"/>
    <mergeCell ref="EW655:FA655"/>
    <mergeCell ref="EW658:FA658"/>
    <mergeCell ref="EW656:FA656"/>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H664:EL664"/>
    <mergeCell ref="EM664:EQ664"/>
    <mergeCell ref="DX677:EB677"/>
    <mergeCell ref="EC678:EG678"/>
    <mergeCell ref="EH678:EL678"/>
    <mergeCell ref="ER664:EV664"/>
    <mergeCell ref="EW649:FA649"/>
    <mergeCell ref="EW674:FA674"/>
    <mergeCell ref="EM669:EQ669"/>
    <mergeCell ref="ER678:EV678"/>
    <mergeCell ref="EC649:EG649"/>
    <mergeCell ref="EC651:EG651"/>
    <mergeCell ref="EC650:EG65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ET735:EX735"/>
    <mergeCell ref="DZ735:ED735"/>
    <mergeCell ref="EE735:EI735"/>
    <mergeCell ref="EE731:EI731"/>
    <mergeCell ref="EJ731:EN731"/>
    <mergeCell ref="EM678:EQ678"/>
    <mergeCell ref="EE734:EI734"/>
    <mergeCell ref="EJ734:EN734"/>
    <mergeCell ref="EW668:FA668"/>
    <mergeCell ref="DX669:EB669"/>
    <mergeCell ref="DX653:EB653"/>
    <mergeCell ref="EC677:EG677"/>
    <mergeCell ref="EH677:EL677"/>
    <mergeCell ref="EW676:FA676"/>
    <mergeCell ref="DX672:EB672"/>
    <mergeCell ref="EH660:EL660"/>
    <mergeCell ref="EW677:FA677"/>
    <mergeCell ref="EW663:FA663"/>
    <mergeCell ref="EC663:EG663"/>
    <mergeCell ref="DX675:EB675"/>
    <mergeCell ref="FO728:FS728"/>
    <mergeCell ref="EZ736:FD736"/>
    <mergeCell ref="FE736:FI736"/>
    <mergeCell ref="FJ736:FN736"/>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R674:EV674"/>
    <mergeCell ref="FE752:FI752"/>
    <mergeCell ref="FJ752:FN752"/>
    <mergeCell ref="FO752:FS752"/>
    <mergeCell ref="FT752:FX752"/>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O735:ES735"/>
    <mergeCell ref="EJ741:EN741"/>
    <mergeCell ref="DZ737:ED737"/>
    <mergeCell ref="EZ740:FD740"/>
    <mergeCell ref="FO740:FS740"/>
    <mergeCell ref="EZ729:FD729"/>
    <mergeCell ref="FE729:FI729"/>
    <mergeCell ref="EZ732:FD732"/>
    <mergeCell ref="FE728:FI728"/>
    <mergeCell ref="FJ728:FN728"/>
    <mergeCell ref="FJ750:FN750"/>
    <mergeCell ref="FO750:FS750"/>
    <mergeCell ref="FT751:FX751"/>
    <mergeCell ref="ET752:EX752"/>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J744:FN744"/>
    <mergeCell ref="FO748:FS748"/>
    <mergeCell ref="FJ741:FN741"/>
    <mergeCell ref="FO741:FS741"/>
    <mergeCell ref="FT759:FX759"/>
    <mergeCell ref="FY759:GC759"/>
    <mergeCell ref="FJ748:FN748"/>
    <mergeCell ref="EZ752:FD752"/>
    <mergeCell ref="CU738:CY738"/>
    <mergeCell ref="CK736:CL736"/>
    <mergeCell ref="CZ737:DD737"/>
    <mergeCell ref="CZ739:DD739"/>
    <mergeCell ref="CK739:CL739"/>
    <mergeCell ref="CK737:CL737"/>
    <mergeCell ref="CU732:CY732"/>
    <mergeCell ref="CU733:CY733"/>
    <mergeCell ref="CP738:CT738"/>
    <mergeCell ref="CU739:CY739"/>
    <mergeCell ref="CM740:CN740"/>
    <mergeCell ref="FT740:FX740"/>
    <mergeCell ref="FT750:FX750"/>
    <mergeCell ref="FY750:GC750"/>
    <mergeCell ref="FO749:FS749"/>
    <mergeCell ref="FY749:GC749"/>
    <mergeCell ref="EZ750:FD750"/>
    <mergeCell ref="FO733:FS733"/>
    <mergeCell ref="FT733:FX733"/>
    <mergeCell ref="EZ733:FD733"/>
    <mergeCell ref="FE733:FI733"/>
    <mergeCell ref="FY733:GC733"/>
    <mergeCell ref="FT743:FX743"/>
    <mergeCell ref="FY743:GC743"/>
    <mergeCell ref="EZ744:FD744"/>
    <mergeCell ref="FE744:FI744"/>
    <mergeCell ref="FO736:FS736"/>
    <mergeCell ref="FE741:FI741"/>
    <mergeCell ref="FJ743:FN743"/>
    <mergeCell ref="FT739:FX739"/>
    <mergeCell ref="FY739:GC739"/>
    <mergeCell ref="FE740:FI740"/>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Y734:GC734"/>
    <mergeCell ref="FY740:GC740"/>
    <mergeCell ref="FO744:FS744"/>
    <mergeCell ref="FT744:FX744"/>
    <mergeCell ref="FJ733:FN733"/>
    <mergeCell ref="FT741:FX741"/>
    <mergeCell ref="FT742:FX742"/>
    <mergeCell ref="FY742:GC742"/>
    <mergeCell ref="FE743:FI743"/>
    <mergeCell ref="FE738:FI738"/>
    <mergeCell ref="FJ738:FN738"/>
    <mergeCell ref="FY736:GC736"/>
    <mergeCell ref="FE737:FI737"/>
    <mergeCell ref="FJ737:FN737"/>
    <mergeCell ref="FO737:FS737"/>
    <mergeCell ref="FT737:FX737"/>
    <mergeCell ref="FY737:GC737"/>
    <mergeCell ref="DE734:DI734"/>
    <mergeCell ref="FJ740:FN740"/>
    <mergeCell ref="ET740:EX740"/>
    <mergeCell ref="FY735:GC735"/>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34:FI734"/>
    <mergeCell ref="ET745:EX745"/>
    <mergeCell ref="DU744:DY744"/>
    <mergeCell ref="EJ740:EN740"/>
    <mergeCell ref="ET744:EX744"/>
    <mergeCell ref="DJ741:DN741"/>
    <mergeCell ref="FT748:FX748"/>
    <mergeCell ref="EZ743:FD743"/>
    <mergeCell ref="FT745:FX745"/>
    <mergeCell ref="EZ737:FD737"/>
    <mergeCell ref="FY745:GC745"/>
    <mergeCell ref="EJ746:EN746"/>
    <mergeCell ref="DO746:DS746"/>
    <mergeCell ref="FE759:FI759"/>
    <mergeCell ref="FJ759:FN759"/>
    <mergeCell ref="DE737:DI737"/>
    <mergeCell ref="DE739:DI739"/>
    <mergeCell ref="EZ751:FD751"/>
    <mergeCell ref="FE751:FI751"/>
    <mergeCell ref="FJ751:FN751"/>
    <mergeCell ref="FO751:FS751"/>
    <mergeCell ref="FE754:FI754"/>
    <mergeCell ref="FJ754:FN754"/>
    <mergeCell ref="FT754:FX754"/>
    <mergeCell ref="FY754:GC754"/>
    <mergeCell ref="EZ755:FD755"/>
    <mergeCell ref="FY752:GC752"/>
    <mergeCell ref="EZ747:FD747"/>
    <mergeCell ref="FE747:FI747"/>
    <mergeCell ref="FJ747:FN747"/>
    <mergeCell ref="FO747:FS747"/>
    <mergeCell ref="DO741:DS741"/>
    <mergeCell ref="DO742:DS742"/>
    <mergeCell ref="EE753:EI753"/>
    <mergeCell ref="DO754:DS754"/>
    <mergeCell ref="DJ750:DN750"/>
    <mergeCell ref="FY755:GC755"/>
    <mergeCell ref="EE757:EI757"/>
    <mergeCell ref="EJ757:EN757"/>
    <mergeCell ref="EO757:ES757"/>
    <mergeCell ref="EE755:EI755"/>
    <mergeCell ref="EJ755:EN755"/>
    <mergeCell ref="EE750:EI750"/>
    <mergeCell ref="EJ750:EN750"/>
    <mergeCell ref="EO750:ES750"/>
    <mergeCell ref="FT729:FX729"/>
    <mergeCell ref="FY729:GC729"/>
    <mergeCell ref="EZ730:FD730"/>
    <mergeCell ref="FE730:FI730"/>
    <mergeCell ref="FJ730:FN730"/>
    <mergeCell ref="FO730:FS730"/>
    <mergeCell ref="FT730:FX730"/>
    <mergeCell ref="AE964:AK964"/>
    <mergeCell ref="I959:T959"/>
    <mergeCell ref="G737:J737"/>
    <mergeCell ref="T982:Z982"/>
    <mergeCell ref="I956:T956"/>
    <mergeCell ref="AK746:AO746"/>
    <mergeCell ref="G744:J744"/>
    <mergeCell ref="AH759:AJ759"/>
    <mergeCell ref="B762:AH763"/>
    <mergeCell ref="X782:AB782"/>
    <mergeCell ref="T781:W781"/>
    <mergeCell ref="J781:N781"/>
    <mergeCell ref="O781:S781"/>
    <mergeCell ref="J784:N784"/>
    <mergeCell ref="U831:X832"/>
    <mergeCell ref="Q831:T832"/>
    <mergeCell ref="Z817:AE817"/>
    <mergeCell ref="O799:S799"/>
    <mergeCell ref="K748:N748"/>
    <mergeCell ref="AC746:AG746"/>
    <mergeCell ref="AK758:AO758"/>
    <mergeCell ref="G747:J747"/>
    <mergeCell ref="X749:AB749"/>
    <mergeCell ref="U924:Z926"/>
    <mergeCell ref="U959:Z959"/>
    <mergeCell ref="D1055:AE1056"/>
    <mergeCell ref="D1016:AE1016"/>
    <mergeCell ref="R999:AA999"/>
    <mergeCell ref="AJ999:AQ999"/>
    <mergeCell ref="W983:AG983"/>
    <mergeCell ref="M982:S982"/>
    <mergeCell ref="AG1025:AH1025"/>
    <mergeCell ref="FE760:FI760"/>
    <mergeCell ref="FJ760:FN760"/>
    <mergeCell ref="DO739:DS739"/>
    <mergeCell ref="DO735:DS735"/>
    <mergeCell ref="DO785:DS785"/>
    <mergeCell ref="DE781:DI781"/>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FY730:GC730"/>
    <mergeCell ref="EZ731:FD731"/>
    <mergeCell ref="FE731:FI731"/>
    <mergeCell ref="FJ731:FN731"/>
    <mergeCell ref="FO731:FS731"/>
    <mergeCell ref="DO747:DS747"/>
    <mergeCell ref="AA977:AG97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P679:R679"/>
    <mergeCell ref="AH756:AJ756"/>
    <mergeCell ref="P687:R687"/>
    <mergeCell ref="O728:S728"/>
    <mergeCell ref="O741:S741"/>
    <mergeCell ref="K727:N727"/>
    <mergeCell ref="K739:N739"/>
    <mergeCell ref="AH761:AJ761"/>
    <mergeCell ref="AH749:AJ749"/>
    <mergeCell ref="O749:S749"/>
    <mergeCell ref="O758:S758"/>
    <mergeCell ref="K753:N753"/>
    <mergeCell ref="T748:W748"/>
    <mergeCell ref="G749:J749"/>
    <mergeCell ref="O750:S750"/>
    <mergeCell ref="AC755:AG755"/>
    <mergeCell ref="AG1029:AH1029"/>
    <mergeCell ref="D1025:AE1025"/>
    <mergeCell ref="D1017:AE1019"/>
    <mergeCell ref="R997:AA997"/>
    <mergeCell ref="D999:Q999"/>
    <mergeCell ref="AB999:AI999"/>
    <mergeCell ref="R994:AA994"/>
    <mergeCell ref="A988:AT990"/>
    <mergeCell ref="AJ994:AQ994"/>
    <mergeCell ref="AJ1022:AQ1024"/>
    <mergeCell ref="AJ1025:AQ1028"/>
    <mergeCell ref="AK753:AO753"/>
    <mergeCell ref="AK748:AO748"/>
    <mergeCell ref="AK749:AO749"/>
    <mergeCell ref="AK760:AO760"/>
    <mergeCell ref="T760:W760"/>
    <mergeCell ref="H680:R680"/>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1004:AE1007"/>
    <mergeCell ref="AF1030:AI1031"/>
    <mergeCell ref="AF1036:AI1037"/>
    <mergeCell ref="T746:W746"/>
    <mergeCell ref="O748:S748"/>
    <mergeCell ref="O733:S733"/>
    <mergeCell ref="O734:S734"/>
    <mergeCell ref="X743:AB743"/>
    <mergeCell ref="X744:AB744"/>
    <mergeCell ref="T743:W743"/>
    <mergeCell ref="T742:W742"/>
    <mergeCell ref="D994:Q994"/>
    <mergeCell ref="AB994:AI994"/>
    <mergeCell ref="M981:S981"/>
    <mergeCell ref="O784:S784"/>
    <mergeCell ref="O777:S78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D1008:AE1008"/>
    <mergeCell ref="R996:AA996"/>
    <mergeCell ref="AK754:AO754"/>
    <mergeCell ref="AJ1034:AQ1037"/>
    <mergeCell ref="AK745:AO745"/>
    <mergeCell ref="O983:P983"/>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G760:J760"/>
    <mergeCell ref="T749:W749"/>
    <mergeCell ref="K749:N749"/>
    <mergeCell ref="AH741:AJ741"/>
    <mergeCell ref="X748:AB748"/>
    <mergeCell ref="G741:J741"/>
    <mergeCell ref="O738:S738"/>
    <mergeCell ref="X760:AB760"/>
    <mergeCell ref="T736:W736"/>
    <mergeCell ref="AC748:AG748"/>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B741:F741"/>
    <mergeCell ref="O737:S737"/>
    <mergeCell ref="AC749:AG749"/>
    <mergeCell ref="AC745:AG745"/>
    <mergeCell ref="T744:W744"/>
    <mergeCell ref="T738:W73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T804:W80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W851:AC851"/>
    <mergeCell ref="AA937:AF937"/>
    <mergeCell ref="AA953:AF953"/>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Q833:T833"/>
    <mergeCell ref="W879:AC879"/>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O804:S804"/>
    <mergeCell ref="AC837:AF837"/>
    <mergeCell ref="Y834:AB834"/>
    <mergeCell ref="DJ745:DN745"/>
    <mergeCell ref="DJ743:DN743"/>
    <mergeCell ref="CG743:CH743"/>
    <mergeCell ref="U833:X833"/>
    <mergeCell ref="CG751:CH751"/>
    <mergeCell ref="DE747:DI747"/>
    <mergeCell ref="Q840:T840"/>
    <mergeCell ref="M839:P839"/>
    <mergeCell ref="CI743:CJ743"/>
    <mergeCell ref="M831:P832"/>
    <mergeCell ref="CG745:CH745"/>
    <mergeCell ref="CG750:CH750"/>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DO733:DS733"/>
    <mergeCell ref="DE742:DI742"/>
    <mergeCell ref="EE749:EI749"/>
    <mergeCell ref="EJ749:EN749"/>
    <mergeCell ref="DE751:DI751"/>
    <mergeCell ref="DJ755:DN755"/>
    <mergeCell ref="DO736:DS736"/>
    <mergeCell ref="EO743:ES743"/>
    <mergeCell ref="DZ743:ED743"/>
    <mergeCell ref="DO734:DS734"/>
    <mergeCell ref="DE738:DI738"/>
    <mergeCell ref="DE740:DI740"/>
    <mergeCell ref="DJ738:DN738"/>
    <mergeCell ref="DU751:DY751"/>
    <mergeCell ref="DZ751:ED751"/>
    <mergeCell ref="EE751:EI751"/>
    <mergeCell ref="EJ751:EN751"/>
    <mergeCell ref="EO751:ES751"/>
    <mergeCell ref="DE754:DI754"/>
    <mergeCell ref="DO750:DS750"/>
    <mergeCell ref="EE743:EI743"/>
    <mergeCell ref="EJ742:EN742"/>
    <mergeCell ref="EE741:EI741"/>
    <mergeCell ref="EE752:EI752"/>
    <mergeCell ref="EJ752:EN752"/>
    <mergeCell ref="EO752:ES752"/>
    <mergeCell ref="EO733:ES733"/>
    <mergeCell ref="DU738:DY738"/>
    <mergeCell ref="EE736:EI736"/>
    <mergeCell ref="EJ736:EN736"/>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EO749:ES749"/>
    <mergeCell ref="DZ740:ED740"/>
    <mergeCell ref="EE740:EI740"/>
    <mergeCell ref="Z675:AK675"/>
    <mergeCell ref="AC646:AE646"/>
    <mergeCell ref="AK722:AO725"/>
    <mergeCell ref="AK726:AO726"/>
    <mergeCell ref="Z661:AK661"/>
    <mergeCell ref="AF641:AJ641"/>
    <mergeCell ref="DX676:EB676"/>
    <mergeCell ref="EC676:EG676"/>
    <mergeCell ref="DX654:EB654"/>
    <mergeCell ref="EC645:EG645"/>
    <mergeCell ref="EC654:EG654"/>
    <mergeCell ref="DX656:EB656"/>
    <mergeCell ref="DO726:DS726"/>
    <mergeCell ref="DE725:DI725"/>
    <mergeCell ref="Z653:AK653"/>
    <mergeCell ref="Z695:AE695"/>
    <mergeCell ref="AG673:AH673"/>
    <mergeCell ref="Z685:AK685"/>
    <mergeCell ref="AA672:AK672"/>
    <mergeCell ref="DX657:EB657"/>
    <mergeCell ref="DX663:EB663"/>
    <mergeCell ref="DX664:EB664"/>
    <mergeCell ref="EC664:EG664"/>
    <mergeCell ref="AI679:AK679"/>
    <mergeCell ref="Z684:AK684"/>
    <mergeCell ref="DJ726:DN726"/>
    <mergeCell ref="Z679:AE679"/>
    <mergeCell ref="DO725:DS725"/>
    <mergeCell ref="DX649:EB649"/>
    <mergeCell ref="EC652:EG652"/>
    <mergeCell ref="EC648:EG648"/>
    <mergeCell ref="AK641:AN641"/>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Z734:DD734"/>
    <mergeCell ref="DJ731:DN731"/>
    <mergeCell ref="DJ732:DN732"/>
    <mergeCell ref="DE728:DI728"/>
    <mergeCell ref="CP725:CT725"/>
    <mergeCell ref="AH726:AJ726"/>
    <mergeCell ref="AC726:AG726"/>
    <mergeCell ref="CM732:CN732"/>
    <mergeCell ref="CG733:CH733"/>
    <mergeCell ref="DE729:DI729"/>
    <mergeCell ref="DE731:DI731"/>
    <mergeCell ref="DE732:DI732"/>
    <mergeCell ref="CZ729:DD729"/>
    <mergeCell ref="CI732:CJ732"/>
    <mergeCell ref="CK730:CL730"/>
    <mergeCell ref="AO640:AS640"/>
    <mergeCell ref="Z643:AB643"/>
    <mergeCell ref="Z617:AK617"/>
    <mergeCell ref="AH525:AK525"/>
    <mergeCell ref="AM564:AS564"/>
    <mergeCell ref="DJ729:DN729"/>
    <mergeCell ref="AA606:AK606"/>
    <mergeCell ref="AO641:AS641"/>
    <mergeCell ref="CU730:CY730"/>
    <mergeCell ref="CZ730:DD730"/>
    <mergeCell ref="CZ731:DD731"/>
    <mergeCell ref="CP731:CT731"/>
    <mergeCell ref="CM731:CN731"/>
    <mergeCell ref="AH736:AJ736"/>
    <mergeCell ref="DJ735:DN735"/>
    <mergeCell ref="DJ734:DN734"/>
    <mergeCell ref="DJ736:DN736"/>
    <mergeCell ref="Z568:AD568"/>
    <mergeCell ref="AI571:AL571"/>
    <mergeCell ref="DE733:DI733"/>
    <mergeCell ref="AO645:AS645"/>
    <mergeCell ref="AC545:AF545"/>
    <mergeCell ref="O534:AA534"/>
    <mergeCell ref="AC640:AE640"/>
    <mergeCell ref="CI725:CJ725"/>
    <mergeCell ref="AA688:AK688"/>
    <mergeCell ref="Z670:AK670"/>
    <mergeCell ref="CP727:CT727"/>
    <mergeCell ref="AK639:AN639"/>
    <mergeCell ref="Z687:AE687"/>
    <mergeCell ref="Z678:AK678"/>
    <mergeCell ref="AM569:AS569"/>
    <mergeCell ref="Z585:AK585"/>
    <mergeCell ref="T637:V637"/>
    <mergeCell ref="M582:R582"/>
    <mergeCell ref="G667:R667"/>
    <mergeCell ref="G601:R601"/>
    <mergeCell ref="AI605:AK605"/>
    <mergeCell ref="A625:AT626"/>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B632:L634"/>
    <mergeCell ref="Z652:AK652"/>
    <mergeCell ref="M636:P636"/>
    <mergeCell ref="W636:Y636"/>
    <mergeCell ref="P671:R671"/>
    <mergeCell ref="AO648:AS648"/>
    <mergeCell ref="W644:Y644"/>
    <mergeCell ref="M644:P644"/>
    <mergeCell ref="T643:V643"/>
    <mergeCell ref="T644:V644"/>
    <mergeCell ref="T645:V645"/>
    <mergeCell ref="AF644:AJ644"/>
    <mergeCell ref="AF645:AJ645"/>
    <mergeCell ref="AC644:AE644"/>
    <mergeCell ref="Z655:AE655"/>
    <mergeCell ref="AI597:AK597"/>
    <mergeCell ref="Z604:AK604"/>
    <mergeCell ref="H606:R606"/>
    <mergeCell ref="AG591:AH591"/>
    <mergeCell ref="G596:R596"/>
    <mergeCell ref="Z588:AK588"/>
    <mergeCell ref="Z603:AK603"/>
    <mergeCell ref="G611:R611"/>
    <mergeCell ref="AC637:AE637"/>
    <mergeCell ref="T641:V641"/>
    <mergeCell ref="G655:L655"/>
    <mergeCell ref="G589:L589"/>
    <mergeCell ref="Z612:AK612"/>
    <mergeCell ref="Z597:AE597"/>
    <mergeCell ref="G593:R593"/>
    <mergeCell ref="Z639:AB639"/>
    <mergeCell ref="AF632:AJ634"/>
    <mergeCell ref="Q632:S634"/>
    <mergeCell ref="AF646:AJ646"/>
    <mergeCell ref="Q639:S639"/>
    <mergeCell ref="T640:V640"/>
    <mergeCell ref="C642:L642"/>
    <mergeCell ref="T646:V646"/>
    <mergeCell ref="T636:V636"/>
    <mergeCell ref="DJ727:DN727"/>
    <mergeCell ref="CU725:CY725"/>
    <mergeCell ref="AC643:AE643"/>
    <mergeCell ref="W643:Y643"/>
    <mergeCell ref="Z605:AE605"/>
    <mergeCell ref="AF637:AJ637"/>
    <mergeCell ref="G677:R677"/>
    <mergeCell ref="W637:Y637"/>
    <mergeCell ref="CI729:CJ729"/>
    <mergeCell ref="CK729:CL729"/>
    <mergeCell ref="CM726:CN726"/>
    <mergeCell ref="DO727:DS727"/>
    <mergeCell ref="CU726:CY726"/>
    <mergeCell ref="Z618:AK618"/>
    <mergeCell ref="AF636:AJ636"/>
    <mergeCell ref="N607:O607"/>
    <mergeCell ref="CG727:CH727"/>
    <mergeCell ref="Z676:AK676"/>
    <mergeCell ref="AA680:AK680"/>
    <mergeCell ref="AK640:AN640"/>
    <mergeCell ref="AF640:AJ640"/>
    <mergeCell ref="AC639:AE639"/>
    <mergeCell ref="AC642:AE642"/>
    <mergeCell ref="M632:P634"/>
    <mergeCell ref="AO638:AS638"/>
    <mergeCell ref="Z609:AK609"/>
    <mergeCell ref="G617:R617"/>
    <mergeCell ref="Z613:AE613"/>
    <mergeCell ref="AO636:AS636"/>
    <mergeCell ref="AG615:AH615"/>
    <mergeCell ref="N615:O615"/>
    <mergeCell ref="M635:P635"/>
    <mergeCell ref="M637:P637"/>
    <mergeCell ref="W632:Y634"/>
    <mergeCell ref="AC728:AG728"/>
    <mergeCell ref="G597:L597"/>
    <mergeCell ref="G577:R577"/>
    <mergeCell ref="H590:R590"/>
    <mergeCell ref="Z587:AK587"/>
    <mergeCell ref="G609:R609"/>
    <mergeCell ref="AA581:AK581"/>
    <mergeCell ref="AG607:AH607"/>
    <mergeCell ref="G603:R603"/>
    <mergeCell ref="G604:R604"/>
    <mergeCell ref="AK635:AN635"/>
    <mergeCell ref="G675:R675"/>
    <mergeCell ref="G692:R692"/>
    <mergeCell ref="Z621:AE621"/>
    <mergeCell ref="N623:O623"/>
    <mergeCell ref="H622:R622"/>
    <mergeCell ref="P597:R597"/>
    <mergeCell ref="Z596:AK596"/>
    <mergeCell ref="Z691:AK691"/>
    <mergeCell ref="Q646:S646"/>
    <mergeCell ref="H656:R656"/>
    <mergeCell ref="Z640:AB640"/>
    <mergeCell ref="M638:P638"/>
    <mergeCell ref="M639:P639"/>
    <mergeCell ref="Z641:AB641"/>
    <mergeCell ref="C639:L639"/>
    <mergeCell ref="M641:P641"/>
    <mergeCell ref="G652:R652"/>
    <mergeCell ref="CK732:CL732"/>
    <mergeCell ref="CZ725:DD725"/>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I570:AL570"/>
    <mergeCell ref="Z576:AK576"/>
    <mergeCell ref="Z579:AK579"/>
    <mergeCell ref="AI572:AL572"/>
    <mergeCell ref="C569:L569"/>
    <mergeCell ref="W571:Y571"/>
    <mergeCell ref="W572:Y572"/>
    <mergeCell ref="AK737:AO737"/>
    <mergeCell ref="G738:J738"/>
    <mergeCell ref="P663:R663"/>
    <mergeCell ref="W641:Y641"/>
    <mergeCell ref="Z638:AB638"/>
    <mergeCell ref="T638:V638"/>
    <mergeCell ref="T639:V639"/>
    <mergeCell ref="AC636:AE636"/>
    <mergeCell ref="C637:L637"/>
    <mergeCell ref="Z663:AE663"/>
    <mergeCell ref="C636:L636"/>
    <mergeCell ref="AO644:AS644"/>
    <mergeCell ref="AO649:AS649"/>
    <mergeCell ref="Z659:AK659"/>
    <mergeCell ref="AK646:AN646"/>
    <mergeCell ref="CZ735:DD735"/>
    <mergeCell ref="CZ732:DD732"/>
    <mergeCell ref="CZ733:DD733"/>
    <mergeCell ref="G684:R684"/>
    <mergeCell ref="O732:S732"/>
    <mergeCell ref="T733:W733"/>
    <mergeCell ref="T734:W734"/>
    <mergeCell ref="AC645:AE645"/>
    <mergeCell ref="N681:O681"/>
    <mergeCell ref="W645:Y645"/>
    <mergeCell ref="AG665:AH665"/>
    <mergeCell ref="Z642:AB642"/>
    <mergeCell ref="G679:L679"/>
    <mergeCell ref="G653:R653"/>
    <mergeCell ref="CU727:CY727"/>
    <mergeCell ref="CG726:CH726"/>
    <mergeCell ref="CU735:CY735"/>
    <mergeCell ref="CI748:CJ748"/>
    <mergeCell ref="CK744:CL744"/>
    <mergeCell ref="CM739:CN739"/>
    <mergeCell ref="CM738:CN738"/>
    <mergeCell ref="CK735:CL735"/>
    <mergeCell ref="CK742:CL742"/>
    <mergeCell ref="CM742:CN742"/>
    <mergeCell ref="CZ738:DD738"/>
    <mergeCell ref="CP735:CT735"/>
    <mergeCell ref="CI735:CJ735"/>
    <mergeCell ref="CZ743:DD743"/>
    <mergeCell ref="CU742:CY742"/>
    <mergeCell ref="CZ740:DD740"/>
    <mergeCell ref="G685:R685"/>
    <mergeCell ref="Z686:AK686"/>
    <mergeCell ref="T729:W729"/>
    <mergeCell ref="AE703:AI703"/>
    <mergeCell ref="CZ726:DD726"/>
    <mergeCell ref="AC729:AG729"/>
    <mergeCell ref="AH728:AJ728"/>
    <mergeCell ref="AH729:AJ729"/>
    <mergeCell ref="AK727:AO727"/>
    <mergeCell ref="CM725:CN725"/>
    <mergeCell ref="CM727:CN727"/>
    <mergeCell ref="CM729:CN729"/>
    <mergeCell ref="W711:AK711"/>
    <mergeCell ref="CK731:CL731"/>
    <mergeCell ref="CM736:CN736"/>
    <mergeCell ref="CU734:CY734"/>
    <mergeCell ref="CU737:CY737"/>
    <mergeCell ref="O730:S730"/>
    <mergeCell ref="T727:W727"/>
    <mergeCell ref="CP741:CT741"/>
    <mergeCell ref="CK743:CL743"/>
    <mergeCell ref="CP740:CT740"/>
    <mergeCell ref="CM737:CN737"/>
    <mergeCell ref="CM733:CN733"/>
    <mergeCell ref="CK738:CL738"/>
    <mergeCell ref="CP739:CT739"/>
    <mergeCell ref="CI737:CJ737"/>
    <mergeCell ref="CP737:CT737"/>
    <mergeCell ref="CP746:CT746"/>
    <mergeCell ref="CK746:CL746"/>
    <mergeCell ref="CP736:CT736"/>
    <mergeCell ref="CI736:CJ736"/>
    <mergeCell ref="CM734:CN734"/>
    <mergeCell ref="CI740:CJ740"/>
    <mergeCell ref="CI741:CJ741"/>
    <mergeCell ref="CI733:CJ733"/>
    <mergeCell ref="CP734:CT734"/>
    <mergeCell ref="CK740:CL740"/>
    <mergeCell ref="CP733:CT733"/>
    <mergeCell ref="CP745:CT745"/>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9:CL749"/>
    <mergeCell ref="CM749:CN749"/>
    <mergeCell ref="CP732:CT732"/>
    <mergeCell ref="T735:W735"/>
    <mergeCell ref="X731:AB731"/>
    <mergeCell ref="CI746:CJ746"/>
    <mergeCell ref="CP749:CT749"/>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T730:W730"/>
    <mergeCell ref="K737:N737"/>
    <mergeCell ref="N697:O697"/>
    <mergeCell ref="CI739:CJ739"/>
    <mergeCell ref="AE710:AF710"/>
    <mergeCell ref="G742:J742"/>
    <mergeCell ref="AK736:AO736"/>
    <mergeCell ref="T731:W731"/>
    <mergeCell ref="K729:N729"/>
    <mergeCell ref="AE701:AF701"/>
    <mergeCell ref="AH735:AJ735"/>
    <mergeCell ref="X733:AB733"/>
    <mergeCell ref="X729:AB729"/>
    <mergeCell ref="X735:AB735"/>
    <mergeCell ref="K728:N728"/>
    <mergeCell ref="AC727:AG727"/>
    <mergeCell ref="AC722:AG725"/>
    <mergeCell ref="G735:J735"/>
    <mergeCell ref="T728:W728"/>
    <mergeCell ref="K722:N725"/>
    <mergeCell ref="N689:O689"/>
    <mergeCell ref="X727:AB727"/>
    <mergeCell ref="G731:J731"/>
    <mergeCell ref="AG697:AH697"/>
    <mergeCell ref="BD911:BE911"/>
    <mergeCell ref="BD909:BE909"/>
    <mergeCell ref="AC902:AH902"/>
    <mergeCell ref="AC903:AH903"/>
    <mergeCell ref="Z908:AE908"/>
    <mergeCell ref="BD908:BE908"/>
    <mergeCell ref="BD910:BE910"/>
    <mergeCell ref="BD913:BE913"/>
    <mergeCell ref="BD915:BF915"/>
    <mergeCell ref="BD914:BF914"/>
    <mergeCell ref="BD919:BE919"/>
    <mergeCell ref="BD912:BE912"/>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J713:O713"/>
    <mergeCell ref="G669:R669"/>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F946:T946"/>
    <mergeCell ref="U946:Z946"/>
    <mergeCell ref="AA946:AF946"/>
    <mergeCell ref="E894:AB894"/>
    <mergeCell ref="U941:Z941"/>
    <mergeCell ref="AA941:AF941"/>
    <mergeCell ref="F947:T947"/>
    <mergeCell ref="U944:Z944"/>
    <mergeCell ref="AA932:AF932"/>
    <mergeCell ref="M869:V869"/>
    <mergeCell ref="C837:H837"/>
    <mergeCell ref="W854:AC854"/>
    <mergeCell ref="F938:T938"/>
    <mergeCell ref="AC896:AH896"/>
    <mergeCell ref="AC898:AH898"/>
    <mergeCell ref="AA945:AF945"/>
    <mergeCell ref="M887:V887"/>
    <mergeCell ref="T866:V866"/>
    <mergeCell ref="T868:V868"/>
    <mergeCell ref="W876:AC876"/>
    <mergeCell ref="W870:AC870"/>
    <mergeCell ref="M885:V885"/>
    <mergeCell ref="W877:AC877"/>
    <mergeCell ref="W881:AC881"/>
    <mergeCell ref="AC901:AH901"/>
    <mergeCell ref="M838:P838"/>
    <mergeCell ref="C845:AJ845"/>
    <mergeCell ref="W884:AC884"/>
    <mergeCell ref="M880:V880"/>
    <mergeCell ref="M884:V884"/>
    <mergeCell ref="W880:AC880"/>
    <mergeCell ref="Q838:T838"/>
    <mergeCell ref="AG839:AJ839"/>
    <mergeCell ref="W857:AC857"/>
    <mergeCell ref="C836:H836"/>
    <mergeCell ref="C833:H833"/>
    <mergeCell ref="AZ859:BA859"/>
    <mergeCell ref="AC899:AH899"/>
    <mergeCell ref="W887:AC887"/>
    <mergeCell ref="U940:Z940"/>
    <mergeCell ref="F924:T924"/>
    <mergeCell ref="AC895:AH895"/>
    <mergeCell ref="AA940:AF940"/>
    <mergeCell ref="M886:V886"/>
    <mergeCell ref="W878:AC878"/>
    <mergeCell ref="AC893:AH893"/>
    <mergeCell ref="W886:AC886"/>
    <mergeCell ref="AC897:AH897"/>
    <mergeCell ref="W850:AC850"/>
    <mergeCell ref="W855:AC855"/>
    <mergeCell ref="W853:AC853"/>
    <mergeCell ref="M854:V854"/>
    <mergeCell ref="J857:V857"/>
    <mergeCell ref="Q837:T837"/>
    <mergeCell ref="U837:X837"/>
    <mergeCell ref="Q836:T836"/>
    <mergeCell ref="AW927:AY927"/>
    <mergeCell ref="AA935:AF935"/>
    <mergeCell ref="U936:Z936"/>
    <mergeCell ref="AA936:AF936"/>
    <mergeCell ref="W885:AC885"/>
    <mergeCell ref="Q835:T835"/>
    <mergeCell ref="M836:P836"/>
    <mergeCell ref="M835:P835"/>
    <mergeCell ref="AC835:AF835"/>
    <mergeCell ref="C840:L840"/>
    <mergeCell ref="W865:AC865"/>
    <mergeCell ref="M883:V883"/>
    <mergeCell ref="Y839:AB839"/>
    <mergeCell ref="W859:AC859"/>
    <mergeCell ref="W863:AC863"/>
    <mergeCell ref="W860:AC860"/>
    <mergeCell ref="W862:AC862"/>
    <mergeCell ref="W883:AC883"/>
    <mergeCell ref="U836:X836"/>
    <mergeCell ref="AG836:AJ836"/>
    <mergeCell ref="O802:S802"/>
    <mergeCell ref="AC800:AG800"/>
    <mergeCell ref="J802:N802"/>
    <mergeCell ref="X803:AB803"/>
    <mergeCell ref="AC834:AF834"/>
    <mergeCell ref="Z825:AE825"/>
    <mergeCell ref="P824:Y824"/>
    <mergeCell ref="Z821:AE821"/>
    <mergeCell ref="C806:AN807"/>
    <mergeCell ref="J801:N801"/>
    <mergeCell ref="X801:AB801"/>
    <mergeCell ref="X802:AB802"/>
    <mergeCell ref="T800:W800"/>
    <mergeCell ref="Q839:T839"/>
    <mergeCell ref="Y809:AC809"/>
    <mergeCell ref="Y808:AC808"/>
    <mergeCell ref="AC804:AG804"/>
    <mergeCell ref="Q834:T834"/>
    <mergeCell ref="Y831:AB832"/>
    <mergeCell ref="M837:P837"/>
    <mergeCell ref="Z823:AE823"/>
    <mergeCell ref="Z816:AE816"/>
    <mergeCell ref="B742:F742"/>
    <mergeCell ref="X797:AB797"/>
    <mergeCell ref="B736:F736"/>
    <mergeCell ref="K745:N745"/>
    <mergeCell ref="C834:H834"/>
    <mergeCell ref="K760:N760"/>
    <mergeCell ref="O805:S805"/>
    <mergeCell ref="O796:S796"/>
    <mergeCell ref="J800:N800"/>
    <mergeCell ref="Z814:AE814"/>
    <mergeCell ref="X799:AB799"/>
    <mergeCell ref="O791:S794"/>
    <mergeCell ref="M833:P833"/>
    <mergeCell ref="O743:S743"/>
    <mergeCell ref="O801:S801"/>
    <mergeCell ref="J798:N798"/>
    <mergeCell ref="U834:X834"/>
    <mergeCell ref="T803:W803"/>
    <mergeCell ref="T784:W784"/>
    <mergeCell ref="AC785:AG785"/>
    <mergeCell ref="T802:W802"/>
    <mergeCell ref="B760:F760"/>
    <mergeCell ref="T795:W795"/>
    <mergeCell ref="T796:W796"/>
    <mergeCell ref="T797:W797"/>
    <mergeCell ref="O803:S803"/>
    <mergeCell ref="AC796:AG796"/>
    <mergeCell ref="AG831:AJ832"/>
    <mergeCell ref="T782:W782"/>
    <mergeCell ref="O785:S785"/>
    <mergeCell ref="X796:AB796"/>
    <mergeCell ref="Z826:AE826"/>
    <mergeCell ref="AC795:AG795"/>
    <mergeCell ref="J796:N796"/>
    <mergeCell ref="AC750:AG750"/>
    <mergeCell ref="AC751:AG751"/>
    <mergeCell ref="AC752:AG752"/>
    <mergeCell ref="AC753:AG753"/>
    <mergeCell ref="AC754:AG754"/>
    <mergeCell ref="O800:S800"/>
    <mergeCell ref="J799:N799"/>
    <mergeCell ref="X800:AB800"/>
    <mergeCell ref="K754:N754"/>
    <mergeCell ref="T754:W754"/>
    <mergeCell ref="K755:N755"/>
    <mergeCell ref="AH758:AJ758"/>
    <mergeCell ref="X783:AB783"/>
    <mergeCell ref="X784:AB784"/>
    <mergeCell ref="J805:N805"/>
    <mergeCell ref="J803:N803"/>
    <mergeCell ref="AC782:AG782"/>
    <mergeCell ref="X785:AB785"/>
    <mergeCell ref="O798:S798"/>
    <mergeCell ref="Z822:AE822"/>
    <mergeCell ref="O795:S795"/>
    <mergeCell ref="AC805:AG805"/>
    <mergeCell ref="Z815:AE815"/>
    <mergeCell ref="AC799:AG799"/>
    <mergeCell ref="J797:N797"/>
    <mergeCell ref="T799:W799"/>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O722:S725"/>
    <mergeCell ref="AC797:AG797"/>
    <mergeCell ref="AC798:AG798"/>
    <mergeCell ref="AF638:AJ638"/>
    <mergeCell ref="G693:R693"/>
    <mergeCell ref="M643:P643"/>
    <mergeCell ref="G654:R654"/>
    <mergeCell ref="Z660:AK660"/>
    <mergeCell ref="G729:J729"/>
    <mergeCell ref="X777:AB780"/>
    <mergeCell ref="T777:W780"/>
    <mergeCell ref="AH753:AJ753"/>
    <mergeCell ref="X730:AB730"/>
    <mergeCell ref="Z693:AK693"/>
    <mergeCell ref="AE706:AI706"/>
    <mergeCell ref="X781:AB781"/>
    <mergeCell ref="O797:S797"/>
    <mergeCell ref="J783:N783"/>
    <mergeCell ref="AC784:AG784"/>
    <mergeCell ref="B732:F732"/>
    <mergeCell ref="B735:F735"/>
    <mergeCell ref="H688:R688"/>
    <mergeCell ref="B731:F731"/>
    <mergeCell ref="G732:J732"/>
    <mergeCell ref="T737:W737"/>
    <mergeCell ref="AI687:AK687"/>
    <mergeCell ref="Z671:AE671"/>
    <mergeCell ref="Z651:AK651"/>
    <mergeCell ref="X726:AB726"/>
    <mergeCell ref="X750:AB750"/>
    <mergeCell ref="G722:J725"/>
    <mergeCell ref="G676:R676"/>
    <mergeCell ref="T791:W794"/>
    <mergeCell ref="AH754:AJ754"/>
    <mergeCell ref="AH755:AJ755"/>
    <mergeCell ref="O782:S782"/>
    <mergeCell ref="J777:N780"/>
    <mergeCell ref="X738:AB738"/>
    <mergeCell ref="G683:R683"/>
    <mergeCell ref="O735:S735"/>
    <mergeCell ref="G727:J727"/>
    <mergeCell ref="AC735:AG735"/>
    <mergeCell ref="X732:AB732"/>
    <mergeCell ref="AK739:AO739"/>
    <mergeCell ref="P695:R695"/>
    <mergeCell ref="R713:T713"/>
    <mergeCell ref="O739:S739"/>
    <mergeCell ref="T726:W726"/>
    <mergeCell ref="O729:S729"/>
    <mergeCell ref="K730:N730"/>
    <mergeCell ref="K731:N731"/>
    <mergeCell ref="G580:L580"/>
    <mergeCell ref="Z589:AE589"/>
    <mergeCell ref="Z594:AK594"/>
    <mergeCell ref="P605:R605"/>
    <mergeCell ref="G605:L605"/>
    <mergeCell ref="C571:L571"/>
    <mergeCell ref="AE573:AH573"/>
    <mergeCell ref="G586:R586"/>
    <mergeCell ref="AA590:AK590"/>
    <mergeCell ref="H581:R581"/>
    <mergeCell ref="Z578:AK578"/>
    <mergeCell ref="T573:V573"/>
    <mergeCell ref="G579:R579"/>
    <mergeCell ref="AC801:AG801"/>
    <mergeCell ref="G730:J730"/>
    <mergeCell ref="B737:F737"/>
    <mergeCell ref="B739:F739"/>
    <mergeCell ref="B738:F738"/>
    <mergeCell ref="G691:R691"/>
    <mergeCell ref="AC761:AG761"/>
    <mergeCell ref="O761:S761"/>
    <mergeCell ref="G694:R694"/>
    <mergeCell ref="C643:L643"/>
    <mergeCell ref="B749:F749"/>
    <mergeCell ref="X754:AB754"/>
    <mergeCell ref="O726:S726"/>
    <mergeCell ref="O731:S731"/>
    <mergeCell ref="AA696:AK696"/>
    <mergeCell ref="B728:F728"/>
    <mergeCell ref="B730:F730"/>
    <mergeCell ref="AG681:AH681"/>
    <mergeCell ref="B733:F733"/>
    <mergeCell ref="AF427:AH427"/>
    <mergeCell ref="AC536:AF536"/>
    <mergeCell ref="C562:L562"/>
    <mergeCell ref="D455:AF455"/>
    <mergeCell ref="D456:AF456"/>
    <mergeCell ref="W474:Y474"/>
    <mergeCell ref="AG455:AJ455"/>
    <mergeCell ref="W475:Y475"/>
    <mergeCell ref="W478:Y478"/>
    <mergeCell ref="O540:AA540"/>
    <mergeCell ref="AH513:AK513"/>
    <mergeCell ref="AH529:AK529"/>
    <mergeCell ref="AC538:AF538"/>
    <mergeCell ref="C566:L566"/>
    <mergeCell ref="T564:V564"/>
    <mergeCell ref="AC541:AF541"/>
    <mergeCell ref="T566:V566"/>
    <mergeCell ref="AI564:AL564"/>
    <mergeCell ref="T565:V565"/>
    <mergeCell ref="W564:Y564"/>
    <mergeCell ref="Q564:S564"/>
    <mergeCell ref="M562:P562"/>
    <mergeCell ref="Z564:AD564"/>
    <mergeCell ref="AI563:AL563"/>
    <mergeCell ref="M566:P566"/>
    <mergeCell ref="AC549:AF549"/>
    <mergeCell ref="W565:Y565"/>
    <mergeCell ref="AI401:AJ401"/>
    <mergeCell ref="AG403:AJ403"/>
    <mergeCell ref="V386:W386"/>
    <mergeCell ref="S386:T386"/>
    <mergeCell ref="J397:U397"/>
    <mergeCell ref="P427:R427"/>
    <mergeCell ref="Z443:AA443"/>
    <mergeCell ref="AC537:AF537"/>
    <mergeCell ref="AH538:AK538"/>
    <mergeCell ref="W479:Y479"/>
    <mergeCell ref="D415:AJ416"/>
    <mergeCell ref="D454:AF454"/>
    <mergeCell ref="D460:AJ461"/>
    <mergeCell ref="AC463:AF463"/>
    <mergeCell ref="P434:Q434"/>
    <mergeCell ref="I427:K427"/>
    <mergeCell ref="S422:T422"/>
    <mergeCell ref="AG449:AJ449"/>
    <mergeCell ref="D452:AF452"/>
    <mergeCell ref="AC515:AF515"/>
    <mergeCell ref="AC529:AF529"/>
    <mergeCell ref="AH535:AK535"/>
    <mergeCell ref="AC525:AF525"/>
    <mergeCell ref="AC512:AF512"/>
    <mergeCell ref="S497:AK498"/>
    <mergeCell ref="Q501:AK501"/>
    <mergeCell ref="AC510:AF510"/>
    <mergeCell ref="B522:H524"/>
    <mergeCell ref="B525:H527"/>
    <mergeCell ref="Q500:AK500"/>
    <mergeCell ref="AC534:AF534"/>
    <mergeCell ref="E429:AJ429"/>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P430:R430"/>
    <mergeCell ref="AC528:AF528"/>
    <mergeCell ref="AC535:AF535"/>
    <mergeCell ref="Q398:U398"/>
    <mergeCell ref="AJ366:AK366"/>
    <mergeCell ref="D453:AF453"/>
    <mergeCell ref="R420:S420"/>
    <mergeCell ref="W473:Y473"/>
    <mergeCell ref="W477:Y477"/>
    <mergeCell ref="AA333:AF333"/>
    <mergeCell ref="H337:R337"/>
    <mergeCell ref="AI332:AK332"/>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D479:V479"/>
    <mergeCell ref="H321:R321"/>
    <mergeCell ref="AI316:AK316"/>
    <mergeCell ref="H313:R313"/>
    <mergeCell ref="H312:R312"/>
    <mergeCell ref="P433:Q433"/>
    <mergeCell ref="H323:R323"/>
    <mergeCell ref="H325:M325"/>
    <mergeCell ref="H316:M316"/>
    <mergeCell ref="H338:R338"/>
    <mergeCell ref="H339:R339"/>
    <mergeCell ref="P340:R340"/>
    <mergeCell ref="AA345:AK345"/>
    <mergeCell ref="H342:R342"/>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A342:AK342"/>
    <mergeCell ref="H348:M348"/>
    <mergeCell ref="D477:V477"/>
    <mergeCell ref="W481:Y481"/>
    <mergeCell ref="Q403:U403"/>
    <mergeCell ref="AD421:AE421"/>
    <mergeCell ref="H423:AE424"/>
    <mergeCell ref="AE434:AF434"/>
    <mergeCell ref="L283:AJ283"/>
    <mergeCell ref="H298:R298"/>
    <mergeCell ref="H300:M300"/>
    <mergeCell ref="H308:M308"/>
    <mergeCell ref="H309:M309"/>
    <mergeCell ref="AA266:AK266"/>
    <mergeCell ref="M269:AE269"/>
    <mergeCell ref="AA274:AK274"/>
    <mergeCell ref="H304:R304"/>
    <mergeCell ref="M270:T270"/>
    <mergeCell ref="H307:R307"/>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M262:T262"/>
    <mergeCell ref="M257:AE257"/>
    <mergeCell ref="P113:S113"/>
    <mergeCell ref="AF252:AK252"/>
    <mergeCell ref="M243:T243"/>
    <mergeCell ref="W243:X243"/>
    <mergeCell ref="T212:U212"/>
    <mergeCell ref="AI236:AJ236"/>
    <mergeCell ref="AH197:AI197"/>
    <mergeCell ref="Z205:AN205"/>
    <mergeCell ref="A75:AT77"/>
    <mergeCell ref="A79:AT81"/>
    <mergeCell ref="AB215:AL215"/>
    <mergeCell ref="T198:U198"/>
    <mergeCell ref="Q212:R212"/>
    <mergeCell ref="D214:Z214"/>
    <mergeCell ref="AB216:AL216"/>
    <mergeCell ref="G113:H113"/>
    <mergeCell ref="C115:K115"/>
    <mergeCell ref="O161:AH161"/>
    <mergeCell ref="D164:AH164"/>
    <mergeCell ref="P204:U204"/>
    <mergeCell ref="AH195:AI195"/>
    <mergeCell ref="AH196:AI196"/>
    <mergeCell ref="U176:V176"/>
    <mergeCell ref="A83:AT84"/>
    <mergeCell ref="T199:U199"/>
    <mergeCell ref="Y120:AK120"/>
    <mergeCell ref="O160:T160"/>
    <mergeCell ref="AI178:AK178"/>
    <mergeCell ref="T193:AI193"/>
    <mergeCell ref="O156:AH156"/>
    <mergeCell ref="O157:X157"/>
    <mergeCell ref="Y123:AK123"/>
    <mergeCell ref="O153:AH153"/>
    <mergeCell ref="O154:AH154"/>
    <mergeCell ref="F150:T150"/>
    <mergeCell ref="J173:S173"/>
    <mergeCell ref="O155:AH155"/>
    <mergeCell ref="T195:U195"/>
    <mergeCell ref="E187:AE188"/>
    <mergeCell ref="I189:P189"/>
    <mergeCell ref="A231:AT232"/>
    <mergeCell ref="T200:U200"/>
    <mergeCell ref="X198:AT199"/>
    <mergeCell ref="AH194:AI194"/>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C220:AQ220"/>
    <mergeCell ref="D205:M205"/>
    <mergeCell ref="J174:AB174"/>
    <mergeCell ref="V225:W225"/>
    <mergeCell ref="V224:W224"/>
    <mergeCell ref="D208:M208"/>
    <mergeCell ref="M242:AE242"/>
    <mergeCell ref="N191:AE192"/>
    <mergeCell ref="AA307:AK307"/>
    <mergeCell ref="AA301:AF301"/>
    <mergeCell ref="M245:R245"/>
    <mergeCell ref="Z245:AE245"/>
    <mergeCell ref="M246:AE246"/>
    <mergeCell ref="AC262:AE262"/>
    <mergeCell ref="AH255:AK255"/>
    <mergeCell ref="AA258:AK258"/>
    <mergeCell ref="AC243:AE243"/>
    <mergeCell ref="D211:M211"/>
    <mergeCell ref="V226:W226"/>
    <mergeCell ref="V227:W227"/>
    <mergeCell ref="V228:W228"/>
    <mergeCell ref="V229:W229"/>
    <mergeCell ref="U175:V175"/>
    <mergeCell ref="R177:S177"/>
    <mergeCell ref="AA247:AK247"/>
    <mergeCell ref="AI237:AJ237"/>
    <mergeCell ref="M244:AE244"/>
    <mergeCell ref="I185:AE185"/>
    <mergeCell ref="U245:W245"/>
    <mergeCell ref="T189:AE18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H347:R347"/>
    <mergeCell ref="AG402:AJ402"/>
    <mergeCell ref="AG400:AJ400"/>
    <mergeCell ref="K413:AJ413"/>
    <mergeCell ref="AC395:AJ395"/>
    <mergeCell ref="AE433:AF433"/>
    <mergeCell ref="N380:Q380"/>
    <mergeCell ref="V391:W391"/>
    <mergeCell ref="J376:K376"/>
    <mergeCell ref="S414:AJ414"/>
    <mergeCell ref="AG388:AH388"/>
    <mergeCell ref="S401:U401"/>
    <mergeCell ref="AG399:AJ399"/>
    <mergeCell ref="Q400:U400"/>
    <mergeCell ref="N381:Q381"/>
    <mergeCell ref="AA348:AF348"/>
    <mergeCell ref="K412:AJ412"/>
    <mergeCell ref="P355:AE355"/>
    <mergeCell ref="Q399:U399"/>
    <mergeCell ref="I419:AE419"/>
    <mergeCell ref="AI398:AJ398"/>
    <mergeCell ref="P356:Z356"/>
    <mergeCell ref="J395:U395"/>
    <mergeCell ref="T407:AJ407"/>
    <mergeCell ref="S410:U410"/>
    <mergeCell ref="AG410:AJ410"/>
    <mergeCell ref="AC396:AJ396"/>
    <mergeCell ref="V397:AJ397"/>
    <mergeCell ref="P348:R348"/>
    <mergeCell ref="AA350:AK350"/>
    <mergeCell ref="E377:AH378"/>
    <mergeCell ref="Q374:AG374"/>
    <mergeCell ref="H349:M349"/>
    <mergeCell ref="AJ365:AK365"/>
    <mergeCell ref="AD386:AE386"/>
    <mergeCell ref="AC380:AF380"/>
    <mergeCell ref="I430:K430"/>
    <mergeCell ref="AC379:AF379"/>
    <mergeCell ref="AE411:AJ411"/>
    <mergeCell ref="AC394:AJ394"/>
    <mergeCell ref="S411:U411"/>
    <mergeCell ref="Y373:Z373"/>
    <mergeCell ref="N387:P387"/>
    <mergeCell ref="W427:Y427"/>
    <mergeCell ref="AG448:AJ448"/>
    <mergeCell ref="P352:AE352"/>
    <mergeCell ref="AG446:AJ446"/>
    <mergeCell ref="AG458:AJ458"/>
    <mergeCell ref="Z563:AD563"/>
    <mergeCell ref="O543:AA543"/>
    <mergeCell ref="AH531:AK531"/>
    <mergeCell ref="AE562:AH562"/>
    <mergeCell ref="AH532:AK532"/>
    <mergeCell ref="AH533:AK533"/>
    <mergeCell ref="M503:P503"/>
    <mergeCell ref="AC509:AF509"/>
    <mergeCell ref="AG404:AJ404"/>
    <mergeCell ref="D449:AF449"/>
    <mergeCell ref="AH530:AK530"/>
    <mergeCell ref="M559:P561"/>
    <mergeCell ref="AC544:AF544"/>
    <mergeCell ref="D476:V476"/>
    <mergeCell ref="AC520:AF520"/>
    <mergeCell ref="AC550:AF550"/>
    <mergeCell ref="AH511:AK511"/>
    <mergeCell ref="AC508:AF508"/>
    <mergeCell ref="AH540:AK540"/>
    <mergeCell ref="AC530:AF530"/>
    <mergeCell ref="AC513:AF513"/>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Z567:AD567"/>
    <mergeCell ref="Z570:AD570"/>
    <mergeCell ref="W569:Y569"/>
    <mergeCell ref="N583:O583"/>
    <mergeCell ref="T570:V570"/>
    <mergeCell ref="B574:AL574"/>
    <mergeCell ref="G610:R610"/>
    <mergeCell ref="G595:R595"/>
    <mergeCell ref="H598:R598"/>
    <mergeCell ref="Z593:AK593"/>
    <mergeCell ref="G587:R587"/>
    <mergeCell ref="G602:R602"/>
    <mergeCell ref="Z602:AK602"/>
    <mergeCell ref="P613:R613"/>
    <mergeCell ref="AG447:AJ447"/>
    <mergeCell ref="B509:H510"/>
    <mergeCell ref="O531:AA531"/>
    <mergeCell ref="D458:AF458"/>
    <mergeCell ref="Q562:S562"/>
    <mergeCell ref="AC518:AF518"/>
    <mergeCell ref="AH522:AK522"/>
    <mergeCell ref="Q563:S563"/>
    <mergeCell ref="Q559:S561"/>
    <mergeCell ref="M563:P563"/>
    <mergeCell ref="C563:L563"/>
    <mergeCell ref="C570:L570"/>
    <mergeCell ref="D446:AF446"/>
    <mergeCell ref="D451:AF451"/>
    <mergeCell ref="AF439:AG439"/>
    <mergeCell ref="AH523:AK523"/>
    <mergeCell ref="AG452:AJ452"/>
    <mergeCell ref="AG453:AJ453"/>
    <mergeCell ref="B497:P498"/>
    <mergeCell ref="AC514:AF514"/>
    <mergeCell ref="Q497:R498"/>
    <mergeCell ref="Q496:AK496"/>
    <mergeCell ref="W559:Y561"/>
    <mergeCell ref="T568:V568"/>
    <mergeCell ref="C568:L568"/>
    <mergeCell ref="AH547:AK547"/>
    <mergeCell ref="AH549:AK549"/>
    <mergeCell ref="AC543:AF543"/>
    <mergeCell ref="AI562:AL562"/>
    <mergeCell ref="AI566:AL566"/>
    <mergeCell ref="T559:V561"/>
    <mergeCell ref="Z565:AD565"/>
    <mergeCell ref="AK750:AO750"/>
    <mergeCell ref="CP753:CT753"/>
    <mergeCell ref="AH750:AJ750"/>
    <mergeCell ref="AK747:AO747"/>
    <mergeCell ref="CG747:CH747"/>
    <mergeCell ref="CG748:CH748"/>
    <mergeCell ref="CG753:CH753"/>
    <mergeCell ref="CI753:CJ753"/>
    <mergeCell ref="CG755:CH755"/>
    <mergeCell ref="CI755:CJ755"/>
    <mergeCell ref="CK755:CL755"/>
    <mergeCell ref="CG754:CH754"/>
    <mergeCell ref="CI754:CJ754"/>
    <mergeCell ref="CG742:CH742"/>
    <mergeCell ref="CP747:CT747"/>
    <mergeCell ref="CM746:CN746"/>
    <mergeCell ref="AK642:AN642"/>
    <mergeCell ref="AK643:AN643"/>
    <mergeCell ref="Z667:AK667"/>
    <mergeCell ref="X722:AB725"/>
    <mergeCell ref="AE702:AF702"/>
    <mergeCell ref="A717:AT719"/>
    <mergeCell ref="G668:R668"/>
    <mergeCell ref="T642:V642"/>
    <mergeCell ref="AF642:AJ642"/>
    <mergeCell ref="CI730:CJ730"/>
    <mergeCell ref="CG729:CH729"/>
    <mergeCell ref="CK728:CL728"/>
    <mergeCell ref="CG739:CH739"/>
    <mergeCell ref="CP730:CT730"/>
    <mergeCell ref="CP726:CT726"/>
    <mergeCell ref="CI726:CJ726"/>
    <mergeCell ref="W570:Y570"/>
    <mergeCell ref="T567:V567"/>
    <mergeCell ref="Z577:AK577"/>
    <mergeCell ref="AM565:AS565"/>
    <mergeCell ref="W638:Y638"/>
    <mergeCell ref="Z571:AD571"/>
    <mergeCell ref="T562:V562"/>
    <mergeCell ref="AC532:AF532"/>
    <mergeCell ref="AH514:AK514"/>
    <mergeCell ref="AH516:AK516"/>
    <mergeCell ref="AC548:AF548"/>
    <mergeCell ref="AC516:AF516"/>
    <mergeCell ref="AH545:AK545"/>
    <mergeCell ref="AC542:AF542"/>
    <mergeCell ref="AH550:AK550"/>
    <mergeCell ref="AH515:AK515"/>
    <mergeCell ref="AH521:AK521"/>
    <mergeCell ref="AE565:AH565"/>
    <mergeCell ref="Z611:AK611"/>
    <mergeCell ref="AG599:AH599"/>
    <mergeCell ref="W573:Y573"/>
    <mergeCell ref="AF582:AK582"/>
    <mergeCell ref="AE572:AH572"/>
    <mergeCell ref="AA598:AK598"/>
    <mergeCell ref="AM573:AS573"/>
    <mergeCell ref="AE571:AH571"/>
    <mergeCell ref="AM571:AS571"/>
    <mergeCell ref="T571:V571"/>
    <mergeCell ref="Z572:AD572"/>
    <mergeCell ref="Z573:AD573"/>
    <mergeCell ref="Z580:AE580"/>
    <mergeCell ref="AG583:AH583"/>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E568:AH568"/>
    <mergeCell ref="Z559:AD561"/>
    <mergeCell ref="CP744:CT744"/>
    <mergeCell ref="CM745:CN745"/>
    <mergeCell ref="CG756:CH756"/>
    <mergeCell ref="CG758:CH758"/>
    <mergeCell ref="CK727:CL727"/>
    <mergeCell ref="CG732:CH732"/>
    <mergeCell ref="CG738:CH738"/>
    <mergeCell ref="CG736:CH736"/>
    <mergeCell ref="AG459:AJ459"/>
    <mergeCell ref="D475:V475"/>
    <mergeCell ref="AG450:AJ450"/>
    <mergeCell ref="AC546:AF546"/>
    <mergeCell ref="Z562:AD562"/>
    <mergeCell ref="AH539:AK539"/>
    <mergeCell ref="AH548:AK548"/>
    <mergeCell ref="AC523:AF523"/>
    <mergeCell ref="AC522:AF522"/>
    <mergeCell ref="AH546:AK546"/>
    <mergeCell ref="Q502:AK502"/>
    <mergeCell ref="AC464:AF464"/>
    <mergeCell ref="D474:V474"/>
    <mergeCell ref="Q499:AK499"/>
    <mergeCell ref="AH503:AK503"/>
    <mergeCell ref="D473:V473"/>
    <mergeCell ref="AC517:AF517"/>
    <mergeCell ref="Q493:AK493"/>
    <mergeCell ref="AC533:AF533"/>
    <mergeCell ref="W482:Y482"/>
    <mergeCell ref="D480:V480"/>
    <mergeCell ref="W480:Y480"/>
    <mergeCell ref="AE559:AH561"/>
    <mergeCell ref="AI559:AL561"/>
    <mergeCell ref="AH518:AK518"/>
    <mergeCell ref="AH543:AK543"/>
    <mergeCell ref="AC540:AF540"/>
    <mergeCell ref="AC539:AF539"/>
    <mergeCell ref="AC547:AF547"/>
    <mergeCell ref="L516:AB516"/>
    <mergeCell ref="O528:AA528"/>
    <mergeCell ref="AH526:AK526"/>
    <mergeCell ref="FT756:FX756"/>
    <mergeCell ref="FT757:FX757"/>
    <mergeCell ref="DJ749:DN749"/>
    <mergeCell ref="DO749:DS749"/>
    <mergeCell ref="CI757:CJ757"/>
    <mergeCell ref="CK757:CL757"/>
    <mergeCell ref="CM757:CN757"/>
    <mergeCell ref="CP757:CT757"/>
    <mergeCell ref="CU757:CY757"/>
    <mergeCell ref="CZ757:DD757"/>
    <mergeCell ref="EZ756:FD756"/>
    <mergeCell ref="FY757:GC757"/>
    <mergeCell ref="FT755:FX755"/>
    <mergeCell ref="CP752:CT752"/>
    <mergeCell ref="DJ752:DN752"/>
    <mergeCell ref="CM750:CN750"/>
    <mergeCell ref="FY751:GC751"/>
    <mergeCell ref="FE750:FI750"/>
    <mergeCell ref="CP750:CT750"/>
    <mergeCell ref="CP751:CT751"/>
    <mergeCell ref="DJ751:DN751"/>
    <mergeCell ref="DO751:DS751"/>
    <mergeCell ref="DO752:DS752"/>
    <mergeCell ref="CM753:CN753"/>
    <mergeCell ref="CP755:CT755"/>
    <mergeCell ref="FO754:FS754"/>
    <mergeCell ref="CI752:CJ752"/>
    <mergeCell ref="CU750:CY750"/>
    <mergeCell ref="CZ750:DD750"/>
    <mergeCell ref="CK752:CL752"/>
    <mergeCell ref="CM752:CN752"/>
    <mergeCell ref="CI750:CJ750"/>
    <mergeCell ref="EW644:FA644"/>
    <mergeCell ref="ER645:EV645"/>
    <mergeCell ref="ET757:EX757"/>
    <mergeCell ref="DX668:EB668"/>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Z749:FD749"/>
    <mergeCell ref="ET750:EX750"/>
    <mergeCell ref="EC668:EG668"/>
    <mergeCell ref="EJ732:EN732"/>
    <mergeCell ref="EO731:ES731"/>
    <mergeCell ref="DU734:DY734"/>
    <mergeCell ref="EO729:ES729"/>
    <mergeCell ref="EJ733:EN733"/>
    <mergeCell ref="DZ734:ED734"/>
    <mergeCell ref="ET731:EX731"/>
    <mergeCell ref="EW672:FA672"/>
    <mergeCell ref="DZ752:ED752"/>
    <mergeCell ref="EC672:EG672"/>
    <mergeCell ref="CU736:CY736"/>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E755:FI755"/>
    <mergeCell ref="EJ753:EN753"/>
    <mergeCell ref="DU757:DY757"/>
    <mergeCell ref="DZ757:ED757"/>
    <mergeCell ref="DZ742:ED742"/>
    <mergeCell ref="DZ739:ED739"/>
    <mergeCell ref="EE739:EI739"/>
    <mergeCell ref="EJ739:EN739"/>
    <mergeCell ref="DU740:DY740"/>
    <mergeCell ref="DU736:DY736"/>
    <mergeCell ref="ET751:EX751"/>
    <mergeCell ref="DU752:DY752"/>
    <mergeCell ref="EE730:EI730"/>
    <mergeCell ref="DZ726:ED726"/>
    <mergeCell ref="EE726:EI726"/>
    <mergeCell ref="DZ736:ED736"/>
    <mergeCell ref="EE732:EI732"/>
    <mergeCell ref="EW675:FA675"/>
    <mergeCell ref="EZ725:FD72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FT758:FX758"/>
    <mergeCell ref="FY758:GC758"/>
    <mergeCell ref="DX666:EB666"/>
    <mergeCell ref="EC666:EG666"/>
    <mergeCell ref="EH666:EL666"/>
    <mergeCell ref="EM666:EQ66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FE749:FI749"/>
    <mergeCell ref="FJ749:FN749"/>
    <mergeCell ref="CU752:CY752"/>
    <mergeCell ref="FJ761:FN761"/>
    <mergeCell ref="FJ755:FN755"/>
    <mergeCell ref="FO755:FS755"/>
    <mergeCell ref="EO759:ES759"/>
    <mergeCell ref="CZ760:DD760"/>
    <mergeCell ref="FO759:FS759"/>
    <mergeCell ref="FO760:FS760"/>
    <mergeCell ref="EE759:EI759"/>
    <mergeCell ref="DU759:DY759"/>
    <mergeCell ref="DZ759:ED759"/>
    <mergeCell ref="DU760:DY760"/>
    <mergeCell ref="DZ760:ED760"/>
    <mergeCell ref="CZ755:DD755"/>
    <mergeCell ref="CK745:CL745"/>
    <mergeCell ref="CG740:CH740"/>
    <mergeCell ref="DE795:DI795"/>
    <mergeCell ref="DE796:DI796"/>
    <mergeCell ref="CI758:CJ758"/>
    <mergeCell ref="CM761:CN761"/>
    <mergeCell ref="DU749:DY749"/>
    <mergeCell ref="DZ749:ED749"/>
    <mergeCell ref="CP742:CT742"/>
    <mergeCell ref="DO755:DS755"/>
    <mergeCell ref="DU753:DY753"/>
    <mergeCell ref="DZ753:ED753"/>
    <mergeCell ref="CU748:CY748"/>
    <mergeCell ref="CI747:CJ747"/>
    <mergeCell ref="CK758:CL758"/>
    <mergeCell ref="CM758:CN758"/>
    <mergeCell ref="CG749:CH749"/>
    <mergeCell ref="CU744:CY744"/>
    <mergeCell ref="CM744:CN744"/>
    <mergeCell ref="CZ785:DD785"/>
    <mergeCell ref="DE785:DI785"/>
    <mergeCell ref="DE783:DI783"/>
    <mergeCell ref="DJ760:DN760"/>
    <mergeCell ref="CP795:CT795"/>
    <mergeCell ref="CK760:CL760"/>
    <mergeCell ref="CZ742:DD742"/>
    <mergeCell ref="DE743:DI743"/>
    <mergeCell ref="CG744:CH744"/>
    <mergeCell ref="CM755:CN755"/>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Z800:DD800"/>
    <mergeCell ref="CI749:CJ749"/>
    <mergeCell ref="AK755:AO755"/>
    <mergeCell ref="DE749:DI749"/>
    <mergeCell ref="CK741:CL741"/>
    <mergeCell ref="CG752:CH752"/>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CK754:CL754"/>
    <mergeCell ref="CM754:CN754"/>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1:DD80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O800:DS800"/>
    <mergeCell ref="EO805:ES805"/>
    <mergeCell ref="DZ795:ED795"/>
    <mergeCell ref="DZ796:ED796"/>
    <mergeCell ref="DZ797:ED797"/>
    <mergeCell ref="DZ798:ED798"/>
    <mergeCell ref="DZ799:ED799"/>
    <mergeCell ref="DZ800:ED800"/>
    <mergeCell ref="DZ801:ED801"/>
    <mergeCell ref="DZ802:ED802"/>
    <mergeCell ref="DZ803:ED803"/>
    <mergeCell ref="DZ804:ED804"/>
    <mergeCell ref="EO797:ES797"/>
    <mergeCell ref="EO798:ES798"/>
    <mergeCell ref="EO799:ES799"/>
    <mergeCell ref="EO800:ES800"/>
    <mergeCell ref="EO801:ES801"/>
    <mergeCell ref="EO802:ES802"/>
    <mergeCell ref="EO803:ES803"/>
    <mergeCell ref="DJ803:DN803"/>
    <mergeCell ref="EO804:ES80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22" workbookViewId="0">
      <selection activeCell="E91" sqref="E9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7" t="s">
        <v>620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374</v>
      </c>
      <c r="D2" s="138" t="s">
        <v>373</v>
      </c>
      <c r="E2" s="138" t="s">
        <v>24</v>
      </c>
      <c r="F2" s="139" t="str">
        <f>Application!B635&amp;Application!C635</f>
        <v>1)Citibank - Tax Exempt</v>
      </c>
      <c r="G2" s="139" t="str">
        <f>Application!B636&amp;Application!C636</f>
        <v>2)Citibank - Taxable</v>
      </c>
      <c r="H2" s="139" t="str">
        <f>Application!B637&amp;Application!C637</f>
        <v>3)Safehold - Tenant Improvement Allowance</v>
      </c>
      <c r="I2" s="139" t="str">
        <f>Application!B638&amp;Application!C638</f>
        <v>4)Deferred Dev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295000</v>
      </c>
      <c r="C5" s="147">
        <v>295000</v>
      </c>
      <c r="D5" s="147"/>
      <c r="E5" s="147">
        <f>C5</f>
        <v>295000</v>
      </c>
      <c r="F5" s="147"/>
      <c r="G5" s="147"/>
      <c r="H5" s="147"/>
      <c r="I5" s="147"/>
      <c r="J5" s="147"/>
      <c r="K5" s="147"/>
      <c r="L5" s="147"/>
      <c r="M5" s="147"/>
      <c r="N5" s="147"/>
      <c r="O5" s="147"/>
      <c r="P5" s="147"/>
      <c r="Q5" s="147"/>
      <c r="R5" s="516">
        <f>SUM(E5:Q5)</f>
        <v>295000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295000</v>
      </c>
      <c r="C8" s="146">
        <f t="shared" ref="C8:Q8" si="0">SUM(C4:C7)</f>
        <v>295000</v>
      </c>
      <c r="D8" s="146">
        <f t="shared" si="0"/>
        <v>0</v>
      </c>
      <c r="E8" s="146">
        <f t="shared" si="0"/>
        <v>295000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295000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167000</v>
      </c>
      <c r="C10" s="147">
        <v>167000</v>
      </c>
      <c r="D10" s="147"/>
      <c r="E10" s="147">
        <f>C10</f>
        <v>167000</v>
      </c>
      <c r="F10" s="147"/>
      <c r="G10" s="147"/>
      <c r="H10" s="147"/>
      <c r="I10" s="147"/>
      <c r="J10" s="147"/>
      <c r="K10" s="147"/>
      <c r="L10" s="147"/>
      <c r="M10" s="147"/>
      <c r="N10" s="147"/>
      <c r="O10" s="147"/>
      <c r="P10" s="147"/>
      <c r="Q10" s="147"/>
      <c r="R10" s="516">
        <f>SUM(E10:Q10)</f>
        <v>167000</v>
      </c>
      <c r="S10" s="147">
        <v>167000</v>
      </c>
      <c r="T10" s="147"/>
      <c r="U10" s="143"/>
    </row>
    <row r="11" spans="1:21" s="144" customFormat="1">
      <c r="A11" s="149" t="s">
        <v>595</v>
      </c>
      <c r="B11" s="146">
        <f>SUM(C11:D11)</f>
        <v>167000</v>
      </c>
      <c r="C11" s="146">
        <f t="shared" ref="C11:Q11" si="1">SUM(C9:C10)</f>
        <v>167000</v>
      </c>
      <c r="D11" s="146">
        <f t="shared" si="1"/>
        <v>0</v>
      </c>
      <c r="E11" s="146">
        <f t="shared" si="1"/>
        <v>167000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167000</v>
      </c>
      <c r="S11" s="148"/>
      <c r="T11" s="150">
        <f>SUM(T9:T10)</f>
        <v>0</v>
      </c>
      <c r="U11" s="143"/>
    </row>
    <row r="12" spans="1:21" s="144" customFormat="1">
      <c r="A12" s="149" t="s">
        <v>84</v>
      </c>
      <c r="B12" s="146">
        <f t="shared" ref="B12:Q12" si="2">SUM(B8+B11)</f>
        <v>462000</v>
      </c>
      <c r="C12" s="146">
        <f t="shared" si="2"/>
        <v>462000</v>
      </c>
      <c r="D12" s="146">
        <f t="shared" si="2"/>
        <v>0</v>
      </c>
      <c r="E12" s="146">
        <f t="shared" si="2"/>
        <v>462000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462000</v>
      </c>
      <c r="S12" s="148"/>
      <c r="T12" s="148"/>
      <c r="U12" s="143"/>
    </row>
    <row r="13" spans="1:21" s="144" customFormat="1">
      <c r="A13" s="287" t="s">
        <v>900</v>
      </c>
      <c r="B13" s="146">
        <f>SUM(C13+D13)</f>
        <v>649563</v>
      </c>
      <c r="C13" s="147">
        <v>649563</v>
      </c>
      <c r="D13" s="147"/>
      <c r="E13" s="147">
        <f>C13</f>
        <v>649563</v>
      </c>
      <c r="F13" s="147"/>
      <c r="G13" s="147"/>
      <c r="H13" s="147"/>
      <c r="I13" s="147"/>
      <c r="J13" s="147"/>
      <c r="K13" s="147"/>
      <c r="L13" s="147"/>
      <c r="M13" s="147"/>
      <c r="N13" s="147"/>
      <c r="O13" s="147"/>
      <c r="P13" s="147"/>
      <c r="Q13" s="147"/>
      <c r="R13" s="516">
        <f>SUM(E13:Q13)</f>
        <v>649563</v>
      </c>
      <c r="S13" s="147">
        <v>60000</v>
      </c>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30447140</v>
      </c>
      <c r="C30" s="147">
        <v>30447140</v>
      </c>
      <c r="D30" s="147"/>
      <c r="E30" s="147">
        <f>B30-SUM(F30:Q30)</f>
        <v>7168640</v>
      </c>
      <c r="F30" s="147">
        <f>F108</f>
        <v>15654500</v>
      </c>
      <c r="G30" s="147">
        <f>G108</f>
        <v>774000</v>
      </c>
      <c r="H30" s="147">
        <f>H108</f>
        <v>6850000</v>
      </c>
      <c r="I30" s="147"/>
      <c r="J30" s="147"/>
      <c r="K30" s="147"/>
      <c r="L30" s="147"/>
      <c r="M30" s="147"/>
      <c r="N30" s="147"/>
      <c r="O30" s="147"/>
      <c r="P30" s="147"/>
      <c r="Q30" s="147"/>
      <c r="R30" s="516">
        <f t="shared" si="7"/>
        <v>30447140</v>
      </c>
      <c r="S30" s="147">
        <v>30247140</v>
      </c>
      <c r="T30" s="147"/>
      <c r="U30" s="143"/>
    </row>
    <row r="31" spans="1:21" s="144" customFormat="1">
      <c r="A31" s="145" t="s">
        <v>599</v>
      </c>
      <c r="B31" s="146">
        <f t="shared" si="6"/>
        <v>1806420</v>
      </c>
      <c r="C31" s="147">
        <v>1806420</v>
      </c>
      <c r="D31" s="147"/>
      <c r="E31" s="147">
        <f t="shared" ref="E31:E37" si="8">B31-SUM(F31:Q31)</f>
        <v>1806420</v>
      </c>
      <c r="F31" s="147"/>
      <c r="G31" s="147"/>
      <c r="H31" s="147"/>
      <c r="I31" s="147"/>
      <c r="J31" s="147"/>
      <c r="K31" s="147"/>
      <c r="L31" s="147"/>
      <c r="M31" s="147"/>
      <c r="N31" s="147"/>
      <c r="O31" s="147"/>
      <c r="P31" s="147"/>
      <c r="Q31" s="147"/>
      <c r="R31" s="516">
        <f t="shared" si="7"/>
        <v>1806420</v>
      </c>
      <c r="S31" s="147">
        <v>1806420</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1300622</v>
      </c>
      <c r="C33" s="147">
        <v>1300622</v>
      </c>
      <c r="D33" s="147"/>
      <c r="E33" s="147">
        <f t="shared" si="8"/>
        <v>1300622</v>
      </c>
      <c r="F33" s="147"/>
      <c r="G33" s="147"/>
      <c r="H33" s="147"/>
      <c r="I33" s="147"/>
      <c r="J33" s="147"/>
      <c r="K33" s="147"/>
      <c r="L33" s="147"/>
      <c r="M33" s="147"/>
      <c r="N33" s="147"/>
      <c r="O33" s="147"/>
      <c r="P33" s="147"/>
      <c r="Q33" s="147"/>
      <c r="R33" s="516">
        <f t="shared" si="7"/>
        <v>1300622</v>
      </c>
      <c r="S33" s="147">
        <v>1300622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84540</v>
      </c>
      <c r="C35" s="147">
        <v>84540</v>
      </c>
      <c r="D35" s="147"/>
      <c r="E35" s="147">
        <f t="shared" si="8"/>
        <v>84540</v>
      </c>
      <c r="F35" s="147"/>
      <c r="G35" s="147"/>
      <c r="H35" s="147"/>
      <c r="I35" s="147"/>
      <c r="J35" s="147"/>
      <c r="K35" s="147"/>
      <c r="L35" s="147"/>
      <c r="M35" s="147"/>
      <c r="N35" s="147"/>
      <c r="O35" s="147"/>
      <c r="P35" s="147"/>
      <c r="Q35" s="147"/>
      <c r="R35" s="516">
        <f t="shared" si="7"/>
        <v>84540</v>
      </c>
      <c r="S35" s="147">
        <v>84540</v>
      </c>
      <c r="T35" s="147"/>
      <c r="U35" s="143"/>
    </row>
    <row r="36" spans="1:21" s="144" customFormat="1">
      <c r="A36" s="283" t="s">
        <v>1627</v>
      </c>
      <c r="B36" s="146">
        <f t="shared" si="6"/>
        <v>170000</v>
      </c>
      <c r="C36" s="147">
        <v>170000</v>
      </c>
      <c r="D36" s="147"/>
      <c r="E36" s="147">
        <f t="shared" si="8"/>
        <v>170000</v>
      </c>
      <c r="F36" s="147"/>
      <c r="G36" s="147"/>
      <c r="H36" s="147"/>
      <c r="I36" s="147"/>
      <c r="J36" s="147"/>
      <c r="K36" s="147"/>
      <c r="L36" s="147"/>
      <c r="M36" s="147"/>
      <c r="N36" s="147"/>
      <c r="O36" s="147"/>
      <c r="P36" s="147"/>
      <c r="Q36" s="147"/>
      <c r="R36" s="516">
        <f t="shared" si="7"/>
        <v>170000</v>
      </c>
      <c r="S36" s="147">
        <v>170000</v>
      </c>
      <c r="T36" s="147"/>
      <c r="U36" s="143"/>
    </row>
    <row r="37" spans="1:21" s="144" customFormat="1">
      <c r="A37" s="1143" t="s">
        <v>2775</v>
      </c>
      <c r="B37" s="146">
        <f t="shared" si="6"/>
        <v>339007</v>
      </c>
      <c r="C37" s="147">
        <v>339007</v>
      </c>
      <c r="D37" s="147"/>
      <c r="E37" s="147">
        <f t="shared" si="8"/>
        <v>339007</v>
      </c>
      <c r="F37" s="147"/>
      <c r="G37" s="147"/>
      <c r="H37" s="147"/>
      <c r="I37" s="147"/>
      <c r="J37" s="147"/>
      <c r="K37" s="147"/>
      <c r="L37" s="147"/>
      <c r="M37" s="147"/>
      <c r="N37" s="147"/>
      <c r="O37" s="147"/>
      <c r="P37" s="147"/>
      <c r="Q37" s="147"/>
      <c r="R37" s="516">
        <f t="shared" si="7"/>
        <v>339007</v>
      </c>
      <c r="S37" s="147">
        <v>339007</v>
      </c>
      <c r="T37" s="147"/>
      <c r="U37" s="143"/>
    </row>
    <row r="38" spans="1:21" s="144" customFormat="1">
      <c r="A38" s="149" t="s">
        <v>143</v>
      </c>
      <c r="B38" s="146">
        <f t="shared" si="6"/>
        <v>34147729</v>
      </c>
      <c r="C38" s="146">
        <f>SUM(C29:C37)</f>
        <v>34147729</v>
      </c>
      <c r="D38" s="146">
        <f t="shared" ref="D38:Q38" si="9">SUM(D29:D37)</f>
        <v>0</v>
      </c>
      <c r="E38" s="146">
        <f t="shared" si="9"/>
        <v>10869229</v>
      </c>
      <c r="F38" s="146">
        <f t="shared" si="9"/>
        <v>15654500</v>
      </c>
      <c r="G38" s="146">
        <f t="shared" si="9"/>
        <v>774000</v>
      </c>
      <c r="H38" s="146">
        <f t="shared" si="9"/>
        <v>6850000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34147729</v>
      </c>
      <c r="S38" s="150">
        <f>SUM(S29:S37)</f>
        <v>33947729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1140700</v>
      </c>
      <c r="C40" s="147">
        <v>1140700</v>
      </c>
      <c r="D40" s="147"/>
      <c r="E40" s="147">
        <f t="shared" ref="E40:E41" si="10">B40-SUM(F40:Q40)</f>
        <v>1140700</v>
      </c>
      <c r="F40" s="147"/>
      <c r="G40" s="147"/>
      <c r="H40" s="147"/>
      <c r="I40" s="147"/>
      <c r="J40" s="147"/>
      <c r="K40" s="147"/>
      <c r="L40" s="147"/>
      <c r="M40" s="147"/>
      <c r="N40" s="147"/>
      <c r="O40" s="147"/>
      <c r="P40" s="147"/>
      <c r="Q40" s="147"/>
      <c r="R40" s="516">
        <f>SUM(E40:Q40)</f>
        <v>1140700</v>
      </c>
      <c r="S40" s="147">
        <v>1140700</v>
      </c>
      <c r="T40" s="147"/>
      <c r="U40" s="143"/>
    </row>
    <row r="41" spans="1:21" s="144" customFormat="1">
      <c r="A41" s="145" t="s">
        <v>146</v>
      </c>
      <c r="B41" s="146">
        <f>SUM(C41+D41)</f>
        <v>275000</v>
      </c>
      <c r="C41" s="147">
        <v>275000</v>
      </c>
      <c r="D41" s="147"/>
      <c r="E41" s="147">
        <f t="shared" si="10"/>
        <v>275000</v>
      </c>
      <c r="F41" s="147"/>
      <c r="G41" s="147"/>
      <c r="H41" s="147"/>
      <c r="I41" s="147"/>
      <c r="J41" s="147"/>
      <c r="K41" s="147"/>
      <c r="L41" s="147"/>
      <c r="M41" s="147"/>
      <c r="N41" s="147"/>
      <c r="O41" s="147"/>
      <c r="P41" s="147"/>
      <c r="Q41" s="147"/>
      <c r="R41" s="516">
        <f>SUM(E41:Q41)</f>
        <v>275000</v>
      </c>
      <c r="S41" s="147">
        <v>275000</v>
      </c>
      <c r="T41" s="147"/>
      <c r="U41" s="143"/>
    </row>
    <row r="42" spans="1:21" s="144" customFormat="1">
      <c r="A42" s="149" t="s">
        <v>147</v>
      </c>
      <c r="B42" s="146">
        <f>SUM(C42:D42)</f>
        <v>1415700</v>
      </c>
      <c r="C42" s="146">
        <f>SUM(C39:C41)</f>
        <v>1415700</v>
      </c>
      <c r="D42" s="146">
        <f>SUM(D39:D41)</f>
        <v>0</v>
      </c>
      <c r="E42" s="146">
        <f t="shared" ref="E42:T42" si="11">SUM(E40:E41)</f>
        <v>1415700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1415700</v>
      </c>
      <c r="S42" s="150">
        <f t="shared" si="11"/>
        <v>1415700</v>
      </c>
      <c r="T42" s="150">
        <f t="shared" si="11"/>
        <v>0</v>
      </c>
      <c r="U42" s="143"/>
    </row>
    <row r="43" spans="1:21" s="144" customFormat="1">
      <c r="A43" s="149" t="s">
        <v>148</v>
      </c>
      <c r="B43" s="146">
        <f>SUM(C43:D43)</f>
        <v>1162010</v>
      </c>
      <c r="C43" s="147">
        <v>1162010</v>
      </c>
      <c r="D43" s="147"/>
      <c r="E43" s="147">
        <f t="shared" ref="E43" si="12">B43-SUM(F43:Q43)</f>
        <v>1162010</v>
      </c>
      <c r="F43" s="147"/>
      <c r="G43" s="147"/>
      <c r="H43" s="147"/>
      <c r="I43" s="147"/>
      <c r="J43" s="147"/>
      <c r="K43" s="147"/>
      <c r="L43" s="147"/>
      <c r="M43" s="147"/>
      <c r="N43" s="147"/>
      <c r="O43" s="147"/>
      <c r="P43" s="147"/>
      <c r="Q43" s="147"/>
      <c r="R43" s="516">
        <f>SUM(E43:Q43)</f>
        <v>1162010</v>
      </c>
      <c r="S43" s="147">
        <v>1162010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1500424</v>
      </c>
      <c r="C45" s="147">
        <v>1500424</v>
      </c>
      <c r="D45" s="147"/>
      <c r="E45" s="147">
        <f t="shared" ref="E45:E53" si="14">B45-SUM(F45:Q45)</f>
        <v>1500424</v>
      </c>
      <c r="F45" s="147"/>
      <c r="G45" s="147"/>
      <c r="H45" s="147"/>
      <c r="I45" s="147"/>
      <c r="J45" s="147"/>
      <c r="K45" s="147"/>
      <c r="L45" s="147"/>
      <c r="M45" s="147"/>
      <c r="N45" s="147"/>
      <c r="O45" s="147"/>
      <c r="P45" s="147"/>
      <c r="Q45" s="147"/>
      <c r="R45" s="516">
        <f t="shared" ref="R45:R53" si="15">SUM(E45:Q45)</f>
        <v>1500424</v>
      </c>
      <c r="S45" s="147">
        <v>1500424</v>
      </c>
      <c r="T45" s="147"/>
      <c r="U45" s="143"/>
    </row>
    <row r="46" spans="1:21" s="144" customFormat="1">
      <c r="A46" s="145" t="s">
        <v>151</v>
      </c>
      <c r="B46" s="146">
        <f t="shared" si="13"/>
        <v>471545</v>
      </c>
      <c r="C46" s="147">
        <v>471545</v>
      </c>
      <c r="D46" s="147"/>
      <c r="E46" s="147">
        <f t="shared" si="14"/>
        <v>471545</v>
      </c>
      <c r="F46" s="147"/>
      <c r="G46" s="147"/>
      <c r="H46" s="147"/>
      <c r="I46" s="147"/>
      <c r="J46" s="147"/>
      <c r="K46" s="147"/>
      <c r="L46" s="147"/>
      <c r="M46" s="147"/>
      <c r="N46" s="147"/>
      <c r="O46" s="147"/>
      <c r="P46" s="147"/>
      <c r="Q46" s="147"/>
      <c r="R46" s="516">
        <f t="shared" si="15"/>
        <v>471545</v>
      </c>
      <c r="S46" s="147">
        <v>327462</v>
      </c>
      <c r="T46" s="147"/>
      <c r="U46" s="143"/>
    </row>
    <row r="47" spans="1:21" s="144" customFormat="1">
      <c r="A47" s="186" t="s">
        <v>152</v>
      </c>
      <c r="B47" s="146">
        <f t="shared" si="13"/>
        <v>1024000</v>
      </c>
      <c r="C47" s="147">
        <v>1024000</v>
      </c>
      <c r="D47" s="147"/>
      <c r="E47" s="147">
        <f t="shared" si="14"/>
        <v>1024000</v>
      </c>
      <c r="F47" s="147"/>
      <c r="G47" s="147"/>
      <c r="H47" s="147"/>
      <c r="I47" s="147"/>
      <c r="J47" s="147"/>
      <c r="K47" s="147"/>
      <c r="L47" s="147"/>
      <c r="M47" s="147"/>
      <c r="N47" s="147"/>
      <c r="O47" s="147"/>
      <c r="P47" s="147"/>
      <c r="Q47" s="147"/>
      <c r="R47" s="516">
        <f t="shared" si="15"/>
        <v>1024000</v>
      </c>
      <c r="S47" s="147">
        <v>711111</v>
      </c>
      <c r="T47" s="147"/>
      <c r="U47" s="143"/>
    </row>
    <row r="48" spans="1:21" s="144" customFormat="1">
      <c r="A48" s="145" t="s">
        <v>153</v>
      </c>
      <c r="B48" s="146">
        <f t="shared" si="13"/>
        <v>191432</v>
      </c>
      <c r="C48" s="147">
        <v>191432</v>
      </c>
      <c r="D48" s="147"/>
      <c r="E48" s="147">
        <f t="shared" si="14"/>
        <v>191432</v>
      </c>
      <c r="F48" s="147"/>
      <c r="G48" s="147"/>
      <c r="H48" s="147"/>
      <c r="I48" s="147"/>
      <c r="J48" s="147"/>
      <c r="K48" s="147"/>
      <c r="L48" s="147"/>
      <c r="M48" s="147"/>
      <c r="N48" s="147"/>
      <c r="O48" s="147"/>
      <c r="P48" s="147"/>
      <c r="Q48" s="147"/>
      <c r="R48" s="516">
        <f t="shared" si="15"/>
        <v>191432</v>
      </c>
      <c r="S48" s="147">
        <v>0</v>
      </c>
      <c r="T48" s="147"/>
      <c r="U48" s="143"/>
    </row>
    <row r="49" spans="1:21" s="144" customFormat="1">
      <c r="A49" s="145" t="s">
        <v>57</v>
      </c>
      <c r="B49" s="146">
        <f t="shared" si="13"/>
        <v>0</v>
      </c>
      <c r="C49" s="147"/>
      <c r="D49" s="147"/>
      <c r="E49" s="147"/>
      <c r="F49" s="147"/>
      <c r="G49" s="147"/>
      <c r="H49" s="147"/>
      <c r="I49" s="147"/>
      <c r="J49" s="147"/>
      <c r="K49" s="147"/>
      <c r="L49" s="147"/>
      <c r="M49" s="147"/>
      <c r="N49" s="147"/>
      <c r="O49" s="147"/>
      <c r="P49" s="147"/>
      <c r="Q49" s="147"/>
      <c r="R49" s="516">
        <f t="shared" si="15"/>
        <v>0</v>
      </c>
      <c r="S49" s="147"/>
      <c r="T49" s="147"/>
      <c r="U49" s="143"/>
    </row>
    <row r="50" spans="1:21" s="144" customFormat="1">
      <c r="A50" s="145" t="s">
        <v>156</v>
      </c>
      <c r="B50" s="146">
        <f t="shared" si="13"/>
        <v>101000</v>
      </c>
      <c r="C50" s="147">
        <v>101000</v>
      </c>
      <c r="D50" s="147"/>
      <c r="E50" s="147">
        <f t="shared" si="14"/>
        <v>101000</v>
      </c>
      <c r="F50" s="147"/>
      <c r="G50" s="147"/>
      <c r="H50" s="147"/>
      <c r="I50" s="147"/>
      <c r="J50" s="147"/>
      <c r="K50" s="147"/>
      <c r="L50" s="147"/>
      <c r="M50" s="147"/>
      <c r="N50" s="147"/>
      <c r="O50" s="147"/>
      <c r="P50" s="147"/>
      <c r="Q50" s="147"/>
      <c r="R50" s="516">
        <f t="shared" si="15"/>
        <v>101000</v>
      </c>
      <c r="S50" s="147">
        <v>81000</v>
      </c>
      <c r="T50" s="147"/>
      <c r="U50" s="143"/>
    </row>
    <row r="51" spans="1:21" s="144" customFormat="1">
      <c r="A51" s="283" t="s">
        <v>154</v>
      </c>
      <c r="B51" s="146">
        <f t="shared" si="13"/>
        <v>70000</v>
      </c>
      <c r="C51" s="147">
        <v>70000</v>
      </c>
      <c r="D51" s="147"/>
      <c r="E51" s="147">
        <f t="shared" si="14"/>
        <v>70000</v>
      </c>
      <c r="F51" s="147"/>
      <c r="G51" s="147"/>
      <c r="H51" s="147"/>
      <c r="I51" s="147"/>
      <c r="J51" s="147"/>
      <c r="K51" s="147"/>
      <c r="L51" s="147"/>
      <c r="M51" s="147"/>
      <c r="N51" s="147"/>
      <c r="O51" s="147"/>
      <c r="P51" s="147"/>
      <c r="Q51" s="147"/>
      <c r="R51" s="516">
        <f t="shared" si="15"/>
        <v>70000</v>
      </c>
      <c r="S51" s="147">
        <v>0</v>
      </c>
      <c r="T51" s="147"/>
      <c r="U51" s="143"/>
    </row>
    <row r="52" spans="1:21" s="144" customFormat="1">
      <c r="A52" s="145" t="s">
        <v>155</v>
      </c>
      <c r="B52" s="146">
        <f t="shared" si="13"/>
        <v>597078</v>
      </c>
      <c r="C52" s="147">
        <v>597078</v>
      </c>
      <c r="D52" s="147"/>
      <c r="E52" s="147">
        <f t="shared" si="14"/>
        <v>597078</v>
      </c>
      <c r="F52" s="147"/>
      <c r="G52" s="147"/>
      <c r="H52" s="147"/>
      <c r="I52" s="147"/>
      <c r="J52" s="147"/>
      <c r="K52" s="147"/>
      <c r="L52" s="147"/>
      <c r="M52" s="147"/>
      <c r="N52" s="147"/>
      <c r="O52" s="147"/>
      <c r="P52" s="147"/>
      <c r="Q52" s="147"/>
      <c r="R52" s="516">
        <f t="shared" si="15"/>
        <v>597078</v>
      </c>
      <c r="S52" s="147">
        <v>597078</v>
      </c>
      <c r="T52" s="147"/>
      <c r="U52" s="143"/>
    </row>
    <row r="53" spans="1:21" s="144" customFormat="1" ht="24">
      <c r="A53" s="1143" t="s">
        <v>2776</v>
      </c>
      <c r="B53" s="146">
        <f t="shared" si="13"/>
        <v>1590000</v>
      </c>
      <c r="C53" s="147">
        <v>1590000</v>
      </c>
      <c r="D53" s="147"/>
      <c r="E53" s="147">
        <f t="shared" si="14"/>
        <v>1590000</v>
      </c>
      <c r="F53" s="147"/>
      <c r="G53" s="147"/>
      <c r="H53" s="147"/>
      <c r="I53" s="147"/>
      <c r="J53" s="147"/>
      <c r="K53" s="147"/>
      <c r="L53" s="147"/>
      <c r="M53" s="147"/>
      <c r="N53" s="147"/>
      <c r="O53" s="147"/>
      <c r="P53" s="147"/>
      <c r="Q53" s="147"/>
      <c r="R53" s="516">
        <f t="shared" si="15"/>
        <v>1590000</v>
      </c>
      <c r="S53" s="147">
        <v>726100</v>
      </c>
      <c r="T53" s="147"/>
      <c r="U53" s="143"/>
    </row>
    <row r="54" spans="1:21" s="153" customFormat="1">
      <c r="A54" s="149" t="s">
        <v>157</v>
      </c>
      <c r="B54" s="150">
        <f>SUM(C54:D54)</f>
        <v>5545479</v>
      </c>
      <c r="C54" s="150">
        <f t="shared" ref="C54:T54" si="16">SUM(C45:C53)</f>
        <v>5545479</v>
      </c>
      <c r="D54" s="150">
        <f t="shared" si="16"/>
        <v>0</v>
      </c>
      <c r="E54" s="150">
        <f t="shared" si="16"/>
        <v>5545479</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5545479</v>
      </c>
      <c r="S54" s="150">
        <f t="shared" si="16"/>
        <v>3943175</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164285</v>
      </c>
      <c r="C56" s="147">
        <v>164285</v>
      </c>
      <c r="D56" s="147"/>
      <c r="E56" s="147">
        <f t="shared" ref="E56:E58" si="18">B56-SUM(F56:Q56)</f>
        <v>164285</v>
      </c>
      <c r="F56" s="147"/>
      <c r="G56" s="147"/>
      <c r="H56" s="147"/>
      <c r="I56" s="147"/>
      <c r="J56" s="147"/>
      <c r="K56" s="147"/>
      <c r="L56" s="147"/>
      <c r="M56" s="147"/>
      <c r="N56" s="147"/>
      <c r="O56" s="147"/>
      <c r="P56" s="147"/>
      <c r="Q56" s="147"/>
      <c r="R56" s="516">
        <f t="shared" ref="R56:R61" si="19">SUM(E56:Q56)</f>
        <v>164285</v>
      </c>
      <c r="S56" s="148"/>
      <c r="T56" s="148"/>
      <c r="U56" s="143"/>
    </row>
    <row r="57" spans="1:21" s="192" customFormat="1">
      <c r="A57" s="186" t="s">
        <v>152</v>
      </c>
      <c r="B57" s="193">
        <f t="shared" si="17"/>
        <v>20000</v>
      </c>
      <c r="C57" s="190">
        <v>20000</v>
      </c>
      <c r="D57" s="190"/>
      <c r="E57" s="190">
        <f t="shared" si="18"/>
        <v>20000</v>
      </c>
      <c r="F57" s="190"/>
      <c r="G57" s="190"/>
      <c r="H57" s="190"/>
      <c r="I57" s="190"/>
      <c r="J57" s="190"/>
      <c r="K57" s="190"/>
      <c r="L57" s="190"/>
      <c r="M57" s="190"/>
      <c r="N57" s="190"/>
      <c r="O57" s="190"/>
      <c r="P57" s="190"/>
      <c r="Q57" s="190"/>
      <c r="R57" s="516">
        <f t="shared" si="19"/>
        <v>20000</v>
      </c>
      <c r="S57" s="194"/>
      <c r="T57" s="194"/>
      <c r="U57" s="191"/>
    </row>
    <row r="58" spans="1:21" s="144" customFormat="1">
      <c r="A58" s="145" t="s">
        <v>156</v>
      </c>
      <c r="B58" s="146">
        <f t="shared" si="17"/>
        <v>35000</v>
      </c>
      <c r="C58" s="147">
        <v>35000</v>
      </c>
      <c r="D58" s="147"/>
      <c r="E58" s="147">
        <f t="shared" si="18"/>
        <v>35000</v>
      </c>
      <c r="F58" s="147"/>
      <c r="G58" s="147"/>
      <c r="H58" s="147"/>
      <c r="I58" s="147"/>
      <c r="J58" s="147"/>
      <c r="K58" s="147"/>
      <c r="L58" s="147"/>
      <c r="M58" s="147"/>
      <c r="N58" s="147"/>
      <c r="O58" s="147"/>
      <c r="P58" s="147"/>
      <c r="Q58" s="147"/>
      <c r="R58" s="516">
        <f t="shared" si="19"/>
        <v>35000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ht="24">
      <c r="A61" s="1143" t="s">
        <v>2777</v>
      </c>
      <c r="B61" s="146">
        <f t="shared" si="17"/>
        <v>3603552</v>
      </c>
      <c r="C61" s="147">
        <v>3603552</v>
      </c>
      <c r="D61" s="147"/>
      <c r="E61" s="147">
        <f t="shared" ref="E61" si="20">B61-SUM(F61:Q61)</f>
        <v>3603552</v>
      </c>
      <c r="F61" s="147"/>
      <c r="G61" s="147"/>
      <c r="H61" s="147"/>
      <c r="I61" s="147"/>
      <c r="J61" s="147"/>
      <c r="K61" s="147"/>
      <c r="L61" s="147"/>
      <c r="M61" s="147"/>
      <c r="N61" s="147"/>
      <c r="O61" s="147"/>
      <c r="P61" s="147"/>
      <c r="Q61" s="147"/>
      <c r="R61" s="516">
        <f t="shared" si="19"/>
        <v>3603552</v>
      </c>
      <c r="S61" s="148"/>
      <c r="T61" s="148"/>
      <c r="U61" s="143"/>
    </row>
    <row r="62" spans="1:21" s="144" customFormat="1" ht="13.7" customHeight="1">
      <c r="A62" s="149" t="s">
        <v>301</v>
      </c>
      <c r="B62" s="146">
        <f>SUM(C62:D62)</f>
        <v>3822837</v>
      </c>
      <c r="C62" s="146">
        <f t="shared" ref="C62:R62" si="21">SUM(C56:C61)</f>
        <v>3822837</v>
      </c>
      <c r="D62" s="146">
        <f t="shared" si="21"/>
        <v>0</v>
      </c>
      <c r="E62" s="146">
        <f t="shared" si="21"/>
        <v>3822837</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3822837</v>
      </c>
      <c r="S62" s="148"/>
      <c r="T62" s="148"/>
      <c r="U62" s="143"/>
    </row>
    <row r="63" spans="1:21" s="144" customFormat="1">
      <c r="A63" s="154" t="s">
        <v>302</v>
      </c>
      <c r="B63" s="146">
        <f t="shared" ref="B63:R63" si="22">SUM(B8+B11+B13+B14+B15+B26+B27+B38+B42+B43+B54+B62)</f>
        <v>47205318</v>
      </c>
      <c r="C63" s="146">
        <f t="shared" si="22"/>
        <v>47205318</v>
      </c>
      <c r="D63" s="146">
        <f t="shared" si="22"/>
        <v>0</v>
      </c>
      <c r="E63" s="146">
        <f t="shared" si="22"/>
        <v>23926818</v>
      </c>
      <c r="F63" s="146">
        <f t="shared" si="22"/>
        <v>15654500</v>
      </c>
      <c r="G63" s="146">
        <f t="shared" si="22"/>
        <v>774000</v>
      </c>
      <c r="H63" s="146">
        <f t="shared" si="22"/>
        <v>6850000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47205318</v>
      </c>
      <c r="S63" s="146">
        <f>SUM(S10+S13+S14+S15+S26+S27+S38+S42+S43+S54)</f>
        <v>40695614</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213500</v>
      </c>
      <c r="C65" s="147">
        <v>213500</v>
      </c>
      <c r="D65" s="147"/>
      <c r="E65" s="147">
        <f t="shared" ref="E65" si="23">B65-SUM(F65:Q65)</f>
        <v>213500</v>
      </c>
      <c r="F65" s="147"/>
      <c r="G65" s="147"/>
      <c r="H65" s="147"/>
      <c r="I65" s="147"/>
      <c r="J65" s="147"/>
      <c r="K65" s="147"/>
      <c r="L65" s="147"/>
      <c r="M65" s="147"/>
      <c r="N65" s="147"/>
      <c r="O65" s="147"/>
      <c r="P65" s="147"/>
      <c r="Q65" s="147"/>
      <c r="R65" s="516">
        <f>SUM(E65:Q65)</f>
        <v>213500</v>
      </c>
      <c r="S65" s="147">
        <v>158639</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215000</v>
      </c>
      <c r="C67" s="147">
        <v>215000</v>
      </c>
      <c r="D67" s="147"/>
      <c r="E67" s="147">
        <f t="shared" ref="E67" si="24">B67-SUM(F67:Q67)</f>
        <v>215000</v>
      </c>
      <c r="F67" s="147"/>
      <c r="G67" s="147"/>
      <c r="H67" s="147"/>
      <c r="I67" s="147"/>
      <c r="J67" s="147"/>
      <c r="K67" s="147"/>
      <c r="L67" s="147"/>
      <c r="M67" s="147"/>
      <c r="N67" s="147"/>
      <c r="O67" s="147"/>
      <c r="P67" s="147"/>
      <c r="Q67" s="147"/>
      <c r="R67" s="516">
        <f>SUM(E67:Q67)</f>
        <v>215000</v>
      </c>
      <c r="S67" s="147">
        <v>215000</v>
      </c>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2778</v>
      </c>
      <c r="B69" s="146">
        <f>SUM(C69+D69)</f>
        <v>415000</v>
      </c>
      <c r="C69" s="147">
        <v>415000</v>
      </c>
      <c r="D69" s="147"/>
      <c r="E69" s="147">
        <f t="shared" ref="E69" si="25">B69-SUM(F69:Q69)</f>
        <v>415000</v>
      </c>
      <c r="F69" s="147"/>
      <c r="G69" s="147"/>
      <c r="H69" s="147"/>
      <c r="I69" s="147"/>
      <c r="J69" s="147"/>
      <c r="K69" s="147"/>
      <c r="L69" s="147"/>
      <c r="M69" s="147"/>
      <c r="N69" s="147"/>
      <c r="O69" s="147"/>
      <c r="P69" s="147"/>
      <c r="Q69" s="147"/>
      <c r="R69" s="516">
        <f>SUM(E69:Q69)</f>
        <v>415000</v>
      </c>
      <c r="S69" s="147">
        <v>187500</v>
      </c>
      <c r="T69" s="147"/>
      <c r="U69" s="143"/>
    </row>
    <row r="70" spans="1:21" s="144" customFormat="1">
      <c r="A70" s="149" t="s">
        <v>1632</v>
      </c>
      <c r="B70" s="146">
        <f>SUM(C70:D70)</f>
        <v>843500</v>
      </c>
      <c r="C70" s="146">
        <f>SUM(C65:C69)</f>
        <v>843500</v>
      </c>
      <c r="D70" s="146">
        <f>SUM(D65:D69)</f>
        <v>0</v>
      </c>
      <c r="E70" s="146">
        <f t="shared" ref="E70:T70" si="26">SUM(E65:E69)</f>
        <v>843500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843500</v>
      </c>
      <c r="S70" s="150">
        <f t="shared" si="26"/>
        <v>561139</v>
      </c>
      <c r="T70" s="150">
        <f t="shared" si="26"/>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831202</v>
      </c>
      <c r="C75" s="147">
        <v>831202</v>
      </c>
      <c r="D75" s="147"/>
      <c r="E75" s="147">
        <f t="shared" ref="E75" si="27">B75-SUM(F75:Q75)</f>
        <v>831202</v>
      </c>
      <c r="F75" s="147"/>
      <c r="G75" s="147"/>
      <c r="H75" s="147"/>
      <c r="I75" s="147"/>
      <c r="J75" s="147"/>
      <c r="K75" s="147"/>
      <c r="L75" s="147"/>
      <c r="M75" s="147"/>
      <c r="N75" s="147"/>
      <c r="O75" s="147"/>
      <c r="P75" s="147"/>
      <c r="Q75" s="147"/>
      <c r="R75" s="516">
        <f>SUM(E75:Q75)</f>
        <v>831202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831202</v>
      </c>
      <c r="C77" s="146">
        <f>SUM(C72:C76)</f>
        <v>831202</v>
      </c>
      <c r="D77" s="146">
        <f>SUM(D72:D76)</f>
        <v>0</v>
      </c>
      <c r="E77" s="146">
        <f t="shared" ref="E77:Q77" si="28">SUM(E72:E76)</f>
        <v>831202</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831202</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1711987</v>
      </c>
      <c r="C79" s="147">
        <v>1711987</v>
      </c>
      <c r="D79" s="147"/>
      <c r="E79" s="147">
        <f t="shared" ref="E79:E80" si="29">B79-SUM(F79:Q79)</f>
        <v>1711987</v>
      </c>
      <c r="F79" s="147"/>
      <c r="G79" s="147"/>
      <c r="H79" s="147"/>
      <c r="I79" s="147"/>
      <c r="J79" s="147"/>
      <c r="K79" s="147"/>
      <c r="L79" s="147"/>
      <c r="M79" s="147"/>
      <c r="N79" s="147"/>
      <c r="O79" s="147"/>
      <c r="P79" s="147"/>
      <c r="Q79" s="147"/>
      <c r="R79" s="516">
        <f>SUM(E79:Q79)</f>
        <v>1711987</v>
      </c>
      <c r="S79" s="147">
        <v>1711987</v>
      </c>
      <c r="T79" s="147"/>
      <c r="U79" s="143"/>
    </row>
    <row r="80" spans="1:21" s="144" customFormat="1">
      <c r="A80" s="283" t="s">
        <v>58</v>
      </c>
      <c r="B80" s="146">
        <f>SUM(C80:D80)</f>
        <v>750000</v>
      </c>
      <c r="C80" s="147">
        <v>750000</v>
      </c>
      <c r="D80" s="147"/>
      <c r="E80" s="147">
        <f t="shared" si="29"/>
        <v>750000</v>
      </c>
      <c r="F80" s="147"/>
      <c r="G80" s="147"/>
      <c r="H80" s="147"/>
      <c r="I80" s="147"/>
      <c r="J80" s="147"/>
      <c r="K80" s="147"/>
      <c r="L80" s="147"/>
      <c r="M80" s="147"/>
      <c r="N80" s="147"/>
      <c r="O80" s="147"/>
      <c r="P80" s="147"/>
      <c r="Q80" s="147"/>
      <c r="R80" s="516">
        <f>SUM(E80:Q80)</f>
        <v>750000</v>
      </c>
      <c r="S80" s="147">
        <v>750000</v>
      </c>
      <c r="T80" s="147"/>
      <c r="U80" s="143"/>
    </row>
    <row r="81" spans="1:21" s="144" customFormat="1">
      <c r="A81" s="149" t="s">
        <v>1207</v>
      </c>
      <c r="B81" s="146">
        <f>SUM(C81:D81)</f>
        <v>2461987</v>
      </c>
      <c r="C81" s="509">
        <f>SUM(C79:C80)</f>
        <v>2461987</v>
      </c>
      <c r="D81" s="509">
        <f t="shared" ref="D81:T81" si="30">SUM(D79:D80)</f>
        <v>0</v>
      </c>
      <c r="E81" s="509">
        <f t="shared" si="30"/>
        <v>2461987</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2461987</v>
      </c>
      <c r="S81" s="509">
        <f t="shared" si="30"/>
        <v>2461987</v>
      </c>
      <c r="T81" s="509">
        <f t="shared" si="3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31">SUM(C83+D83)</f>
        <v>235000</v>
      </c>
      <c r="C83" s="147">
        <v>235000</v>
      </c>
      <c r="D83" s="147"/>
      <c r="E83" s="147">
        <f t="shared" ref="E83:E86" si="32">B83-SUM(F83:Q83)</f>
        <v>235000</v>
      </c>
      <c r="F83" s="147"/>
      <c r="G83" s="147"/>
      <c r="H83" s="147"/>
      <c r="I83" s="147"/>
      <c r="J83" s="147"/>
      <c r="K83" s="147"/>
      <c r="L83" s="147"/>
      <c r="M83" s="147"/>
      <c r="N83" s="147"/>
      <c r="O83" s="147"/>
      <c r="P83" s="147"/>
      <c r="Q83" s="147"/>
      <c r="R83" s="516">
        <f t="shared" ref="R83:R95" si="33">SUM(E83:Q83)</f>
        <v>235000</v>
      </c>
      <c r="S83" s="148"/>
      <c r="T83" s="148"/>
      <c r="U83" s="143"/>
    </row>
    <row r="84" spans="1:21" s="144" customFormat="1">
      <c r="A84" s="145" t="s">
        <v>766</v>
      </c>
      <c r="B84" s="146">
        <f t="shared" si="31"/>
        <v>103000</v>
      </c>
      <c r="C84" s="147">
        <v>103000</v>
      </c>
      <c r="D84" s="147"/>
      <c r="E84" s="147">
        <f t="shared" si="32"/>
        <v>103000</v>
      </c>
      <c r="F84" s="147"/>
      <c r="G84" s="147"/>
      <c r="H84" s="147"/>
      <c r="I84" s="147"/>
      <c r="J84" s="147"/>
      <c r="K84" s="147"/>
      <c r="L84" s="147"/>
      <c r="M84" s="147"/>
      <c r="N84" s="147"/>
      <c r="O84" s="147"/>
      <c r="P84" s="147"/>
      <c r="Q84" s="147"/>
      <c r="R84" s="516">
        <f t="shared" si="33"/>
        <v>103000</v>
      </c>
      <c r="S84" s="147">
        <v>103000</v>
      </c>
      <c r="T84" s="147"/>
      <c r="U84" s="143"/>
    </row>
    <row r="85" spans="1:21" s="144" customFormat="1">
      <c r="A85" s="145" t="s">
        <v>767</v>
      </c>
      <c r="B85" s="146">
        <f t="shared" si="31"/>
        <v>2094595</v>
      </c>
      <c r="C85" s="147">
        <v>2094595</v>
      </c>
      <c r="D85" s="147"/>
      <c r="E85" s="147">
        <f t="shared" si="32"/>
        <v>2094595</v>
      </c>
      <c r="F85" s="147"/>
      <c r="G85" s="147"/>
      <c r="H85" s="147"/>
      <c r="I85" s="147"/>
      <c r="J85" s="147"/>
      <c r="K85" s="147"/>
      <c r="L85" s="147"/>
      <c r="M85" s="147"/>
      <c r="N85" s="147"/>
      <c r="O85" s="147"/>
      <c r="P85" s="147"/>
      <c r="Q85" s="147"/>
      <c r="R85" s="516">
        <f t="shared" si="33"/>
        <v>2094595</v>
      </c>
      <c r="S85" s="147">
        <v>2094595</v>
      </c>
      <c r="T85" s="147"/>
      <c r="U85" s="143"/>
    </row>
    <row r="86" spans="1:21" s="144" customFormat="1">
      <c r="A86" s="145" t="s">
        <v>768</v>
      </c>
      <c r="B86" s="146">
        <f t="shared" si="31"/>
        <v>875872</v>
      </c>
      <c r="C86" s="147">
        <v>875872</v>
      </c>
      <c r="D86" s="147"/>
      <c r="E86" s="147">
        <f t="shared" si="32"/>
        <v>875872</v>
      </c>
      <c r="F86" s="147"/>
      <c r="G86" s="147"/>
      <c r="H86" s="147"/>
      <c r="I86" s="147"/>
      <c r="J86" s="147"/>
      <c r="K86" s="147"/>
      <c r="L86" s="147"/>
      <c r="M86" s="147"/>
      <c r="N86" s="147"/>
      <c r="O86" s="147"/>
      <c r="P86" s="147"/>
      <c r="Q86" s="147"/>
      <c r="R86" s="516">
        <f t="shared" si="33"/>
        <v>875872</v>
      </c>
      <c r="S86" s="147">
        <v>875872</v>
      </c>
      <c r="T86" s="147"/>
      <c r="U86" s="143"/>
    </row>
    <row r="87" spans="1:21" s="144" customFormat="1">
      <c r="A87" s="145" t="s">
        <v>769</v>
      </c>
      <c r="B87" s="146">
        <f t="shared" si="31"/>
        <v>0</v>
      </c>
      <c r="C87" s="147"/>
      <c r="D87" s="147"/>
      <c r="E87" s="147"/>
      <c r="F87" s="147"/>
      <c r="G87" s="147"/>
      <c r="H87" s="147"/>
      <c r="I87" s="147"/>
      <c r="J87" s="147"/>
      <c r="K87" s="147"/>
      <c r="L87" s="147"/>
      <c r="M87" s="147"/>
      <c r="N87" s="147"/>
      <c r="O87" s="147"/>
      <c r="P87" s="147"/>
      <c r="Q87" s="147"/>
      <c r="R87" s="516">
        <f t="shared" si="33"/>
        <v>0</v>
      </c>
      <c r="S87" s="147"/>
      <c r="T87" s="147"/>
      <c r="U87" s="143"/>
    </row>
    <row r="88" spans="1:21" s="144" customFormat="1">
      <c r="A88" s="145" t="s">
        <v>770</v>
      </c>
      <c r="B88" s="146">
        <f t="shared" si="31"/>
        <v>360000</v>
      </c>
      <c r="C88" s="147">
        <v>360000</v>
      </c>
      <c r="D88" s="147"/>
      <c r="E88" s="147">
        <f t="shared" ref="E88:E91" si="34">B88-SUM(F88:Q88)</f>
        <v>360000</v>
      </c>
      <c r="F88" s="147"/>
      <c r="G88" s="147"/>
      <c r="H88" s="147"/>
      <c r="I88" s="147"/>
      <c r="J88" s="147"/>
      <c r="K88" s="147"/>
      <c r="L88" s="147"/>
      <c r="M88" s="147"/>
      <c r="N88" s="147"/>
      <c r="O88" s="147"/>
      <c r="P88" s="147"/>
      <c r="Q88" s="147"/>
      <c r="R88" s="516">
        <f t="shared" si="33"/>
        <v>360000</v>
      </c>
      <c r="S88" s="148"/>
      <c r="T88" s="148"/>
      <c r="U88" s="143"/>
    </row>
    <row r="89" spans="1:21" s="144" customFormat="1">
      <c r="A89" s="145" t="s">
        <v>771</v>
      </c>
      <c r="B89" s="146">
        <f t="shared" si="31"/>
        <v>380200</v>
      </c>
      <c r="C89" s="147">
        <v>380200</v>
      </c>
      <c r="D89" s="147"/>
      <c r="E89" s="147">
        <f t="shared" si="34"/>
        <v>380200</v>
      </c>
      <c r="F89" s="147"/>
      <c r="G89" s="147"/>
      <c r="H89" s="147"/>
      <c r="I89" s="147"/>
      <c r="J89" s="147"/>
      <c r="K89" s="147"/>
      <c r="L89" s="147"/>
      <c r="M89" s="147"/>
      <c r="N89" s="147"/>
      <c r="O89" s="147"/>
      <c r="P89" s="147"/>
      <c r="Q89" s="147"/>
      <c r="R89" s="516">
        <f t="shared" si="33"/>
        <v>380200</v>
      </c>
      <c r="S89" s="147">
        <v>380200</v>
      </c>
      <c r="T89" s="147"/>
      <c r="U89" s="143"/>
    </row>
    <row r="90" spans="1:21" s="144" customFormat="1">
      <c r="A90" s="145" t="s">
        <v>772</v>
      </c>
      <c r="B90" s="146">
        <f t="shared" si="31"/>
        <v>7750</v>
      </c>
      <c r="C90" s="147">
        <v>7750</v>
      </c>
      <c r="D90" s="147"/>
      <c r="E90" s="147">
        <f t="shared" si="34"/>
        <v>7750</v>
      </c>
      <c r="F90" s="147"/>
      <c r="G90" s="147"/>
      <c r="H90" s="147"/>
      <c r="I90" s="147"/>
      <c r="J90" s="147"/>
      <c r="K90" s="147"/>
      <c r="L90" s="147"/>
      <c r="M90" s="147"/>
      <c r="N90" s="147"/>
      <c r="O90" s="147"/>
      <c r="P90" s="147"/>
      <c r="Q90" s="147"/>
      <c r="R90" s="516">
        <f t="shared" si="33"/>
        <v>7750</v>
      </c>
      <c r="S90" s="147">
        <v>7750</v>
      </c>
      <c r="T90" s="147"/>
      <c r="U90" s="143"/>
    </row>
    <row r="91" spans="1:21" s="144" customFormat="1">
      <c r="A91" s="145" t="s">
        <v>372</v>
      </c>
      <c r="B91" s="146">
        <f t="shared" si="31"/>
        <v>204000</v>
      </c>
      <c r="C91" s="147">
        <v>204000</v>
      </c>
      <c r="D91" s="147"/>
      <c r="E91" s="147">
        <f t="shared" si="34"/>
        <v>204000</v>
      </c>
      <c r="F91" s="147"/>
      <c r="G91" s="147"/>
      <c r="H91" s="147"/>
      <c r="I91" s="147"/>
      <c r="J91" s="147"/>
      <c r="K91" s="147"/>
      <c r="L91" s="147"/>
      <c r="M91" s="147"/>
      <c r="N91" s="147"/>
      <c r="O91" s="147"/>
      <c r="P91" s="147"/>
      <c r="Q91" s="147"/>
      <c r="R91" s="516">
        <f t="shared" si="33"/>
        <v>204000</v>
      </c>
      <c r="S91" s="147">
        <v>204000</v>
      </c>
      <c r="T91" s="147"/>
      <c r="U91" s="143"/>
    </row>
    <row r="92" spans="1:21" s="144" customFormat="1">
      <c r="A92" s="283" t="s">
        <v>1209</v>
      </c>
      <c r="B92" s="146">
        <f t="shared" si="31"/>
        <v>0</v>
      </c>
      <c r="C92" s="147"/>
      <c r="D92" s="147"/>
      <c r="E92" s="147"/>
      <c r="F92" s="147"/>
      <c r="G92" s="147"/>
      <c r="H92" s="147"/>
      <c r="I92" s="147"/>
      <c r="J92" s="147"/>
      <c r="K92" s="147"/>
      <c r="L92" s="147"/>
      <c r="M92" s="147"/>
      <c r="N92" s="147"/>
      <c r="O92" s="147"/>
      <c r="P92" s="147"/>
      <c r="Q92" s="147"/>
      <c r="R92" s="516">
        <f t="shared" si="33"/>
        <v>0</v>
      </c>
      <c r="S92" s="147"/>
      <c r="T92" s="147"/>
      <c r="U92" s="143"/>
    </row>
    <row r="93" spans="1:21" s="144" customFormat="1">
      <c r="A93" s="1143" t="s">
        <v>2779</v>
      </c>
      <c r="B93" s="146">
        <f t="shared" si="31"/>
        <v>7879</v>
      </c>
      <c r="C93" s="147">
        <v>7879</v>
      </c>
      <c r="D93" s="147"/>
      <c r="E93" s="147">
        <f t="shared" ref="E93:E95" si="35">B93-SUM(F93:Q93)</f>
        <v>7879</v>
      </c>
      <c r="F93" s="147"/>
      <c r="G93" s="147"/>
      <c r="H93" s="147"/>
      <c r="I93" s="147"/>
      <c r="J93" s="147"/>
      <c r="K93" s="147"/>
      <c r="L93" s="147"/>
      <c r="M93" s="147"/>
      <c r="N93" s="147"/>
      <c r="O93" s="147"/>
      <c r="P93" s="147"/>
      <c r="Q93" s="147"/>
      <c r="R93" s="516">
        <f t="shared" si="33"/>
        <v>7879</v>
      </c>
      <c r="S93" s="147"/>
      <c r="T93" s="147"/>
      <c r="U93" s="143"/>
    </row>
    <row r="94" spans="1:21" s="144" customFormat="1">
      <c r="A94" s="1143" t="s">
        <v>2780</v>
      </c>
      <c r="B94" s="146">
        <f t="shared" si="31"/>
        <v>42400</v>
      </c>
      <c r="C94" s="147">
        <v>42400</v>
      </c>
      <c r="D94" s="147"/>
      <c r="E94" s="147">
        <f t="shared" si="35"/>
        <v>42400</v>
      </c>
      <c r="F94" s="147"/>
      <c r="G94" s="147"/>
      <c r="H94" s="147"/>
      <c r="I94" s="147"/>
      <c r="J94" s="147"/>
      <c r="K94" s="147"/>
      <c r="L94" s="147"/>
      <c r="M94" s="147"/>
      <c r="N94" s="147"/>
      <c r="O94" s="147"/>
      <c r="P94" s="147"/>
      <c r="Q94" s="147"/>
      <c r="R94" s="516">
        <f t="shared" si="33"/>
        <v>42400</v>
      </c>
      <c r="S94" s="147"/>
      <c r="T94" s="147"/>
      <c r="U94" s="143"/>
    </row>
    <row r="95" spans="1:21" s="144" customFormat="1">
      <c r="A95" s="1143" t="s">
        <v>2781</v>
      </c>
      <c r="B95" s="146">
        <f t="shared" si="31"/>
        <v>1168572</v>
      </c>
      <c r="C95" s="147">
        <v>1168572</v>
      </c>
      <c r="D95" s="147"/>
      <c r="E95" s="147">
        <f t="shared" si="35"/>
        <v>1168572</v>
      </c>
      <c r="F95" s="147"/>
      <c r="G95" s="147"/>
      <c r="H95" s="147"/>
      <c r="I95" s="147"/>
      <c r="J95" s="147"/>
      <c r="K95" s="147"/>
      <c r="L95" s="147"/>
      <c r="M95" s="147"/>
      <c r="N95" s="147"/>
      <c r="O95" s="147"/>
      <c r="P95" s="147"/>
      <c r="Q95" s="147"/>
      <c r="R95" s="516">
        <f t="shared" si="33"/>
        <v>1168572</v>
      </c>
      <c r="S95" s="147">
        <v>1068572</v>
      </c>
      <c r="T95" s="147"/>
      <c r="U95" s="143"/>
    </row>
    <row r="96" spans="1:21" s="144" customFormat="1">
      <c r="A96" s="149" t="s">
        <v>773</v>
      </c>
      <c r="B96" s="146">
        <f>SUM(C96:D96)</f>
        <v>5479268</v>
      </c>
      <c r="C96" s="146">
        <f t="shared" ref="C96:R96" si="36">SUM(C83:C95)</f>
        <v>5479268</v>
      </c>
      <c r="D96" s="146">
        <f t="shared" si="36"/>
        <v>0</v>
      </c>
      <c r="E96" s="146">
        <f t="shared" si="36"/>
        <v>5479268</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5479268</v>
      </c>
      <c r="S96" s="150">
        <f>SUM(S84:S87,S89:S95)</f>
        <v>4733989</v>
      </c>
      <c r="T96" s="146">
        <f>SUM(T84:T87,T89:T95)</f>
        <v>0</v>
      </c>
      <c r="U96" s="143"/>
    </row>
    <row r="97" spans="1:21" s="144" customFormat="1">
      <c r="A97" s="149" t="s">
        <v>774</v>
      </c>
      <c r="B97" s="146">
        <f>SUM(C97:D97)</f>
        <v>56821275</v>
      </c>
      <c r="C97" s="146">
        <f t="shared" ref="C97:R97" si="37">SUM(C63+C70+C77+C81+C96)</f>
        <v>56821275</v>
      </c>
      <c r="D97" s="146">
        <f t="shared" si="37"/>
        <v>0</v>
      </c>
      <c r="E97" s="146">
        <f t="shared" si="37"/>
        <v>33542775</v>
      </c>
      <c r="F97" s="146">
        <f t="shared" si="37"/>
        <v>15654500</v>
      </c>
      <c r="G97" s="146">
        <f t="shared" si="37"/>
        <v>774000</v>
      </c>
      <c r="H97" s="146">
        <f t="shared" si="37"/>
        <v>6850000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56821275</v>
      </c>
      <c r="S97" s="146">
        <f>SUM(S63+S70+S81+S96)</f>
        <v>48452729</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7267909</v>
      </c>
      <c r="C99" s="974">
        <v>7267909</v>
      </c>
      <c r="D99" s="974"/>
      <c r="E99" s="974">
        <f>C99-I99</f>
        <v>1966755</v>
      </c>
      <c r="F99" s="147"/>
      <c r="G99" s="147"/>
      <c r="H99" s="147"/>
      <c r="I99" s="147">
        <f>ROUND(I108,0)</f>
        <v>5301154</v>
      </c>
      <c r="J99" s="147"/>
      <c r="K99" s="147"/>
      <c r="L99" s="147"/>
      <c r="M99" s="147"/>
      <c r="N99" s="147"/>
      <c r="O99" s="147"/>
      <c r="P99" s="147"/>
      <c r="Q99" s="147"/>
      <c r="R99" s="516">
        <f>SUM(E99:Q99)</f>
        <v>7267909</v>
      </c>
      <c r="S99" s="147">
        <v>7267909</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7267909</v>
      </c>
      <c r="C104" s="146">
        <f>SUM(C99:C103)</f>
        <v>7267909</v>
      </c>
      <c r="D104" s="146">
        <f t="shared" ref="D104:T104" si="38">SUM(D99:D103)</f>
        <v>0</v>
      </c>
      <c r="E104" s="146">
        <f t="shared" si="38"/>
        <v>1966755</v>
      </c>
      <c r="F104" s="146">
        <f t="shared" si="38"/>
        <v>0</v>
      </c>
      <c r="G104" s="146">
        <f t="shared" si="38"/>
        <v>0</v>
      </c>
      <c r="H104" s="146">
        <f t="shared" si="38"/>
        <v>0</v>
      </c>
      <c r="I104" s="146">
        <f t="shared" si="38"/>
        <v>5301154</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7267909</v>
      </c>
      <c r="S104" s="150">
        <f t="shared" si="38"/>
        <v>7267909</v>
      </c>
      <c r="T104" s="150">
        <f t="shared" si="38"/>
        <v>0</v>
      </c>
      <c r="U104" s="143"/>
    </row>
    <row r="105" spans="1:21" s="144" customFormat="1">
      <c r="A105" s="149" t="s">
        <v>779</v>
      </c>
      <c r="B105" s="150">
        <f>SUM(C105:D105)</f>
        <v>64089184</v>
      </c>
      <c r="C105" s="150">
        <f t="shared" ref="C105:R105" si="39">SUM(C97+C104)</f>
        <v>64089184</v>
      </c>
      <c r="D105" s="150">
        <f t="shared" si="39"/>
        <v>0</v>
      </c>
      <c r="E105" s="150">
        <f t="shared" si="39"/>
        <v>35509530</v>
      </c>
      <c r="F105" s="150">
        <f t="shared" si="39"/>
        <v>15654500</v>
      </c>
      <c r="G105" s="150">
        <f t="shared" si="39"/>
        <v>774000</v>
      </c>
      <c r="H105" s="150">
        <f t="shared" si="39"/>
        <v>6850000</v>
      </c>
      <c r="I105" s="150">
        <f t="shared" si="39"/>
        <v>5301154</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64089184</v>
      </c>
      <c r="S105" s="150">
        <f>S97+S104</f>
        <v>55720638</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55720638</v>
      </c>
      <c r="T107" s="150">
        <f>T105+T106</f>
        <v>0</v>
      </c>
    </row>
    <row r="108" spans="1:21" s="189" customFormat="1">
      <c r="A108" s="162" t="s">
        <v>877</v>
      </c>
      <c r="B108" s="157"/>
      <c r="C108" s="157"/>
      <c r="D108" s="157"/>
      <c r="E108" s="301">
        <f>Application!AO648</f>
        <v>35509530</v>
      </c>
      <c r="F108" s="301">
        <f>Application!AO635</f>
        <v>15654500</v>
      </c>
      <c r="G108" s="301">
        <f>Application!AO636</f>
        <v>774000</v>
      </c>
      <c r="H108" s="301">
        <f>Application!AO637</f>
        <v>6850000</v>
      </c>
      <c r="I108" s="301">
        <f>Application!AO638</f>
        <v>5301154</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81" t="s">
        <v>988</v>
      </c>
      <c r="E122" s="1881"/>
      <c r="F122" s="1881"/>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3" t="s">
        <v>1222</v>
      </c>
      <c r="E123" s="1485"/>
      <c r="F123" s="1485"/>
      <c r="G123" s="1485"/>
      <c r="H123" s="1485"/>
      <c r="I123" s="1485"/>
      <c r="J123" s="1485"/>
      <c r="K123" s="1485"/>
      <c r="L123" s="1485"/>
      <c r="M123" s="1485"/>
      <c r="N123" s="1485"/>
      <c r="O123" s="1485"/>
      <c r="P123" s="1485"/>
      <c r="Q123" s="1485"/>
      <c r="R123" s="1485"/>
      <c r="S123" s="1485"/>
      <c r="T123" s="324"/>
      <c r="U123" s="326"/>
    </row>
    <row r="124" spans="1:21" ht="12.75">
      <c r="A124" s="117" t="s">
        <v>990</v>
      </c>
      <c r="B124" s="333"/>
      <c r="C124" s="117"/>
      <c r="D124" s="1485"/>
      <c r="E124" s="1485"/>
      <c r="F124" s="1485"/>
      <c r="G124" s="1485"/>
      <c r="H124" s="1485"/>
      <c r="I124" s="1485"/>
      <c r="J124" s="1485"/>
      <c r="K124" s="1485"/>
      <c r="L124" s="1485"/>
      <c r="M124" s="1485"/>
      <c r="N124" s="1485"/>
      <c r="O124" s="1485"/>
      <c r="P124" s="1485"/>
      <c r="Q124" s="1485"/>
      <c r="R124" s="1485"/>
      <c r="S124" s="1485"/>
      <c r="T124" s="324"/>
      <c r="U124" s="326"/>
    </row>
    <row r="125" spans="1:21" ht="12.75">
      <c r="A125" s="117" t="s">
        <v>991</v>
      </c>
      <c r="B125" s="333"/>
      <c r="C125" s="117"/>
      <c r="D125" s="1485"/>
      <c r="E125" s="1485"/>
      <c r="F125" s="1485"/>
      <c r="G125" s="1485"/>
      <c r="H125" s="1485"/>
      <c r="I125" s="1485"/>
      <c r="J125" s="1485"/>
      <c r="K125" s="1485"/>
      <c r="L125" s="1485"/>
      <c r="M125" s="1485"/>
      <c r="N125" s="1485"/>
      <c r="O125" s="1485"/>
      <c r="P125" s="1485"/>
      <c r="Q125" s="1485"/>
      <c r="R125" s="1485"/>
      <c r="S125" s="1485"/>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6"/>
      <c r="E128" s="1876"/>
      <c r="F128" s="1876"/>
      <c r="G128" s="1876"/>
      <c r="H128" s="1876"/>
      <c r="I128" s="117"/>
      <c r="J128" s="1872"/>
      <c r="K128" s="1872"/>
      <c r="L128" s="117"/>
      <c r="M128" s="117"/>
      <c r="N128" s="117"/>
      <c r="O128" s="117"/>
      <c r="P128" s="117"/>
      <c r="Q128" s="117"/>
      <c r="R128" s="117"/>
      <c r="S128" s="117"/>
      <c r="T128" s="324"/>
      <c r="U128" s="326"/>
    </row>
    <row r="129" spans="1:21" ht="12.75">
      <c r="A129" s="117" t="s">
        <v>300</v>
      </c>
      <c r="B129" s="333"/>
      <c r="C129" s="117"/>
      <c r="D129" s="1880" t="s">
        <v>995</v>
      </c>
      <c r="E129" s="1880"/>
      <c r="F129" s="1880"/>
      <c r="G129" s="1880"/>
      <c r="H129" s="1880"/>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454"/>
      <c r="E131" s="1454"/>
      <c r="F131" s="1454"/>
      <c r="G131" s="1454"/>
      <c r="H131" s="1454"/>
      <c r="I131" s="117"/>
      <c r="J131" s="1454"/>
      <c r="K131" s="1454"/>
      <c r="L131" s="1454"/>
      <c r="M131" s="1454"/>
      <c r="N131" s="117"/>
      <c r="O131" s="117"/>
      <c r="P131" s="117"/>
      <c r="Q131" s="117"/>
      <c r="R131" s="117"/>
      <c r="S131" s="117"/>
      <c r="T131" s="324"/>
      <c r="U131" s="326"/>
    </row>
    <row r="132" spans="1:21" ht="12" customHeight="1">
      <c r="A132" s="336"/>
      <c r="B132" s="117"/>
      <c r="C132" s="117"/>
      <c r="D132" s="1874" t="s">
        <v>998</v>
      </c>
      <c r="E132" s="1874"/>
      <c r="F132" s="1874"/>
      <c r="G132" s="1874"/>
      <c r="H132" s="1874"/>
      <c r="I132" s="117"/>
      <c r="J132" s="1874" t="s">
        <v>999</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76"/>
      <c r="C138" s="1876"/>
      <c r="D138" s="328"/>
      <c r="E138" s="1872"/>
      <c r="F138" s="1872"/>
      <c r="G138" s="117"/>
      <c r="H138" s="117"/>
      <c r="I138" s="117"/>
      <c r="J138" s="117"/>
      <c r="K138" s="117"/>
      <c r="L138" s="117"/>
      <c r="M138" s="117"/>
      <c r="N138" s="117"/>
      <c r="O138" s="117"/>
      <c r="P138" s="117"/>
      <c r="Q138" s="117"/>
      <c r="R138" s="117"/>
      <c r="S138" s="117"/>
      <c r="T138" s="330"/>
      <c r="U138" s="331"/>
    </row>
    <row r="139" spans="1:21" ht="12.75">
      <c r="A139" s="1871" t="s">
        <v>1002</v>
      </c>
      <c r="B139" s="1871"/>
      <c r="C139" s="1871"/>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abSelected="1" topLeftCell="A30" workbookViewId="0">
      <selection activeCell="E63" sqref="E6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1225</v>
      </c>
      <c r="B1" s="1885"/>
      <c r="C1" s="1885"/>
      <c r="D1" s="1885"/>
      <c r="E1" s="1885"/>
      <c r="F1" s="1885"/>
      <c r="G1" s="1885"/>
      <c r="H1" s="1885"/>
      <c r="I1" s="1885"/>
      <c r="J1" s="1886"/>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295000</v>
      </c>
      <c r="C5" s="362">
        <f>B5</f>
        <v>295000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295000</v>
      </c>
      <c r="C8" s="361">
        <f>SUM(C4:C7)</f>
        <v>295000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167000</v>
      </c>
      <c r="C10" s="362">
        <f>B10</f>
        <v>167000</v>
      </c>
      <c r="D10" s="362"/>
      <c r="E10" s="361">
        <f>'Sources and Uses Budget'!S10</f>
        <v>167000</v>
      </c>
      <c r="F10" s="362">
        <f>E10</f>
        <v>167000</v>
      </c>
      <c r="G10" s="362"/>
      <c r="H10" s="361">
        <f>'Sources and Uses Budget'!T10</f>
        <v>0</v>
      </c>
      <c r="I10" s="362"/>
      <c r="J10" s="362"/>
      <c r="K10" s="359"/>
    </row>
    <row r="11" spans="1:11" s="360" customFormat="1">
      <c r="A11" s="365" t="s">
        <v>595</v>
      </c>
      <c r="B11" s="361">
        <f>'Sources and Uses Budget'!C11</f>
        <v>167000</v>
      </c>
      <c r="C11" s="361">
        <f>SUM(C9:C10)</f>
        <v>167000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462000</v>
      </c>
      <c r="C12" s="361">
        <f>SUM(C8+C11)</f>
        <v>462000</v>
      </c>
      <c r="D12" s="361">
        <f>SUM(D8+D11)</f>
        <v>0</v>
      </c>
      <c r="E12" s="363"/>
      <c r="F12" s="363"/>
      <c r="G12" s="363"/>
      <c r="H12" s="363"/>
      <c r="I12" s="363"/>
      <c r="J12" s="363"/>
      <c r="K12" s="359"/>
    </row>
    <row r="13" spans="1:11" s="360" customFormat="1">
      <c r="A13" s="366" t="s">
        <v>900</v>
      </c>
      <c r="B13" s="361">
        <f>'Sources and Uses Budget'!C13</f>
        <v>649563</v>
      </c>
      <c r="C13" s="362">
        <f>B13</f>
        <v>649563</v>
      </c>
      <c r="D13" s="362"/>
      <c r="E13" s="361">
        <f>'Sources and Uses Budget'!S13</f>
        <v>60000</v>
      </c>
      <c r="F13" s="362">
        <f>E13</f>
        <v>60000</v>
      </c>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f t="shared" ref="C29:C37" si="0">B29</f>
        <v>0</v>
      </c>
      <c r="D29" s="362"/>
      <c r="E29" s="361">
        <f>'Sources and Uses Budget'!S29</f>
        <v>0</v>
      </c>
      <c r="F29" s="362">
        <f>E29</f>
        <v>0</v>
      </c>
      <c r="G29" s="362"/>
      <c r="H29" s="361">
        <f>'Sources and Uses Budget'!T29</f>
        <v>0</v>
      </c>
      <c r="I29" s="362"/>
      <c r="J29" s="362"/>
      <c r="K29" s="359"/>
    </row>
    <row r="30" spans="1:11" s="360" customFormat="1">
      <c r="A30" s="145" t="s">
        <v>598</v>
      </c>
      <c r="B30" s="361">
        <f>'Sources and Uses Budget'!C30</f>
        <v>30447140</v>
      </c>
      <c r="C30" s="362">
        <f t="shared" si="0"/>
        <v>30447140</v>
      </c>
      <c r="D30" s="362"/>
      <c r="E30" s="361">
        <f>'Sources and Uses Budget'!S30</f>
        <v>30247140</v>
      </c>
      <c r="F30" s="362">
        <f>E30</f>
        <v>30247140</v>
      </c>
      <c r="G30" s="362"/>
      <c r="H30" s="361">
        <f>'Sources and Uses Budget'!T30</f>
        <v>0</v>
      </c>
      <c r="I30" s="362"/>
      <c r="J30" s="362"/>
      <c r="K30" s="359"/>
    </row>
    <row r="31" spans="1:11" s="360" customFormat="1">
      <c r="A31" s="145" t="s">
        <v>599</v>
      </c>
      <c r="B31" s="361">
        <f>'Sources and Uses Budget'!C31</f>
        <v>1806420</v>
      </c>
      <c r="C31" s="362">
        <f t="shared" si="0"/>
        <v>1806420</v>
      </c>
      <c r="D31" s="362"/>
      <c r="E31" s="361">
        <f>'Sources and Uses Budget'!S31</f>
        <v>1806420</v>
      </c>
      <c r="F31" s="362">
        <f t="shared" ref="F31:F37" si="1">E31</f>
        <v>1806420</v>
      </c>
      <c r="G31" s="362"/>
      <c r="H31" s="361">
        <f>'Sources and Uses Budget'!T31</f>
        <v>0</v>
      </c>
      <c r="I31" s="362"/>
      <c r="J31" s="362"/>
      <c r="K31" s="359"/>
    </row>
    <row r="32" spans="1:11" s="360" customFormat="1">
      <c r="A32" s="145" t="s">
        <v>137</v>
      </c>
      <c r="B32" s="361">
        <f>'Sources and Uses Budget'!C32</f>
        <v>0</v>
      </c>
      <c r="C32" s="362">
        <f t="shared" si="0"/>
        <v>0</v>
      </c>
      <c r="D32" s="362"/>
      <c r="E32" s="361">
        <f>'Sources and Uses Budget'!S32</f>
        <v>0</v>
      </c>
      <c r="F32" s="362">
        <f t="shared" si="1"/>
        <v>0</v>
      </c>
      <c r="G32" s="362"/>
      <c r="H32" s="361">
        <f>'Sources and Uses Budget'!T32</f>
        <v>0</v>
      </c>
      <c r="I32" s="362"/>
      <c r="J32" s="362"/>
      <c r="K32" s="359"/>
    </row>
    <row r="33" spans="1:11" s="360" customFormat="1">
      <c r="A33" s="145" t="s">
        <v>138</v>
      </c>
      <c r="B33" s="361">
        <f>'Sources and Uses Budget'!C33</f>
        <v>1300622</v>
      </c>
      <c r="C33" s="362">
        <f t="shared" si="0"/>
        <v>1300622</v>
      </c>
      <c r="D33" s="362"/>
      <c r="E33" s="361">
        <f>'Sources and Uses Budget'!S33</f>
        <v>1300622</v>
      </c>
      <c r="F33" s="362">
        <f t="shared" si="1"/>
        <v>1300622</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84540</v>
      </c>
      <c r="C35" s="362">
        <f t="shared" si="0"/>
        <v>84540</v>
      </c>
      <c r="D35" s="362"/>
      <c r="E35" s="361">
        <f>'Sources and Uses Budget'!S35</f>
        <v>84540</v>
      </c>
      <c r="F35" s="362">
        <f t="shared" si="1"/>
        <v>84540</v>
      </c>
      <c r="G35" s="362"/>
      <c r="H35" s="361">
        <f>'Sources and Uses Budget'!T35</f>
        <v>0</v>
      </c>
      <c r="I35" s="362"/>
      <c r="J35" s="362"/>
      <c r="K35" s="359"/>
    </row>
    <row r="36" spans="1:11" s="360" customFormat="1">
      <c r="A36" s="508" t="s">
        <v>1627</v>
      </c>
      <c r="B36" s="361">
        <f>'Sources and Uses Budget'!C36</f>
        <v>170000</v>
      </c>
      <c r="C36" s="362">
        <f t="shared" si="0"/>
        <v>170000</v>
      </c>
      <c r="D36" s="362"/>
      <c r="E36" s="361">
        <f>'Sources and Uses Budget'!S36</f>
        <v>170000</v>
      </c>
      <c r="F36" s="362">
        <f t="shared" si="1"/>
        <v>170000</v>
      </c>
      <c r="G36" s="362"/>
      <c r="H36" s="361">
        <f>'Sources and Uses Budget'!T36</f>
        <v>0</v>
      </c>
      <c r="I36" s="362"/>
      <c r="J36" s="362"/>
      <c r="K36" s="359"/>
    </row>
    <row r="37" spans="1:11" s="360" customFormat="1">
      <c r="A37" s="364" t="str">
        <f>'Sources and Uses Budget'!$A37</f>
        <v xml:space="preserve">Other: Payment &amp; Performance Bonds </v>
      </c>
      <c r="B37" s="361">
        <f>'Sources and Uses Budget'!C37</f>
        <v>339007</v>
      </c>
      <c r="C37" s="362">
        <f t="shared" si="0"/>
        <v>339007</v>
      </c>
      <c r="D37" s="362"/>
      <c r="E37" s="361">
        <f>'Sources and Uses Budget'!S37</f>
        <v>339007</v>
      </c>
      <c r="F37" s="362">
        <f t="shared" si="1"/>
        <v>339007</v>
      </c>
      <c r="G37" s="362"/>
      <c r="H37" s="361">
        <f>'Sources and Uses Budget'!T37</f>
        <v>0</v>
      </c>
      <c r="I37" s="362"/>
      <c r="J37" s="362"/>
      <c r="K37" s="359"/>
    </row>
    <row r="38" spans="1:11" s="360" customFormat="1">
      <c r="A38" s="365" t="s">
        <v>143</v>
      </c>
      <c r="B38" s="361">
        <f>'Sources and Uses Budget'!C38</f>
        <v>34147729</v>
      </c>
      <c r="C38" s="361">
        <f>SUM(C29:C37)</f>
        <v>34147729</v>
      </c>
      <c r="D38" s="361">
        <f>SUM(D29:D37)</f>
        <v>0</v>
      </c>
      <c r="E38" s="361">
        <f>'Sources and Uses Budget'!S38</f>
        <v>33947729</v>
      </c>
      <c r="F38" s="367">
        <f>SUM(F29:F37)</f>
        <v>33947729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1140700</v>
      </c>
      <c r="C40" s="362">
        <f t="shared" ref="C40:C41" si="2">B40</f>
        <v>1140700</v>
      </c>
      <c r="D40" s="362"/>
      <c r="E40" s="361">
        <f>'Sources and Uses Budget'!S40</f>
        <v>1140700</v>
      </c>
      <c r="F40" s="362">
        <f t="shared" ref="F40:F41" si="3">E40</f>
        <v>1140700</v>
      </c>
      <c r="G40" s="362"/>
      <c r="H40" s="361">
        <f>'Sources and Uses Budget'!T40</f>
        <v>0</v>
      </c>
      <c r="I40" s="362"/>
      <c r="J40" s="362"/>
      <c r="K40" s="359"/>
    </row>
    <row r="41" spans="1:11" s="360" customFormat="1">
      <c r="A41" s="364" t="s">
        <v>146</v>
      </c>
      <c r="B41" s="361">
        <f>'Sources and Uses Budget'!C41</f>
        <v>275000</v>
      </c>
      <c r="C41" s="362">
        <f t="shared" si="2"/>
        <v>275000</v>
      </c>
      <c r="D41" s="362"/>
      <c r="E41" s="361">
        <f>'Sources and Uses Budget'!S41</f>
        <v>275000</v>
      </c>
      <c r="F41" s="362">
        <f t="shared" si="3"/>
        <v>275000</v>
      </c>
      <c r="G41" s="362"/>
      <c r="H41" s="361">
        <f>'Sources and Uses Budget'!T41</f>
        <v>0</v>
      </c>
      <c r="I41" s="362"/>
      <c r="J41" s="362"/>
      <c r="K41" s="359"/>
    </row>
    <row r="42" spans="1:11" s="360" customFormat="1">
      <c r="A42" s="365" t="s">
        <v>147</v>
      </c>
      <c r="B42" s="361">
        <f>'Sources and Uses Budget'!C42</f>
        <v>1415700</v>
      </c>
      <c r="C42" s="361">
        <f>SUM(C39:C41)</f>
        <v>1415700</v>
      </c>
      <c r="D42" s="361">
        <f>SUM(D39:D41)</f>
        <v>0</v>
      </c>
      <c r="E42" s="361">
        <f>'Sources and Uses Budget'!S42</f>
        <v>1415700</v>
      </c>
      <c r="F42" s="367">
        <f>SUM(F40:F41)</f>
        <v>1415700</v>
      </c>
      <c r="G42" s="367">
        <f>SUM(G40:G41)</f>
        <v>0</v>
      </c>
      <c r="H42" s="361">
        <f>'Sources and Uses Budget'!T42</f>
        <v>0</v>
      </c>
      <c r="I42" s="367">
        <f>SUM(I40:I41)</f>
        <v>0</v>
      </c>
      <c r="J42" s="367">
        <f>SUM(J40:J41)</f>
        <v>0</v>
      </c>
      <c r="K42" s="359"/>
    </row>
    <row r="43" spans="1:11" s="360" customFormat="1">
      <c r="A43" s="365" t="s">
        <v>148</v>
      </c>
      <c r="B43" s="361">
        <f>'Sources and Uses Budget'!C43</f>
        <v>1162010</v>
      </c>
      <c r="C43" s="362">
        <f>B43</f>
        <v>1162010</v>
      </c>
      <c r="D43" s="362"/>
      <c r="E43" s="361">
        <f>'Sources and Uses Budget'!S43</f>
        <v>1162010</v>
      </c>
      <c r="F43" s="362">
        <f>E43</f>
        <v>1162010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1500424</v>
      </c>
      <c r="C45" s="362">
        <f t="shared" ref="C45:C53" si="4">B45</f>
        <v>1500424</v>
      </c>
      <c r="D45" s="362"/>
      <c r="E45" s="361">
        <f>'Sources and Uses Budget'!S45</f>
        <v>1500424</v>
      </c>
      <c r="F45" s="362">
        <f t="shared" ref="F45:F53" si="5">E45</f>
        <v>1500424</v>
      </c>
      <c r="G45" s="362"/>
      <c r="H45" s="361">
        <f>'Sources and Uses Budget'!T45</f>
        <v>0</v>
      </c>
      <c r="I45" s="362"/>
      <c r="J45" s="362"/>
      <c r="K45" s="359"/>
    </row>
    <row r="46" spans="1:11" s="360" customFormat="1">
      <c r="A46" s="364" t="s">
        <v>151</v>
      </c>
      <c r="B46" s="361">
        <f>'Sources and Uses Budget'!C46</f>
        <v>471545</v>
      </c>
      <c r="C46" s="362">
        <f t="shared" si="4"/>
        <v>471545</v>
      </c>
      <c r="D46" s="362"/>
      <c r="E46" s="361">
        <f>'Sources and Uses Budget'!S46</f>
        <v>327462</v>
      </c>
      <c r="F46" s="362">
        <f t="shared" si="5"/>
        <v>327462</v>
      </c>
      <c r="G46" s="362"/>
      <c r="H46" s="361">
        <f>'Sources and Uses Budget'!T46</f>
        <v>0</v>
      </c>
      <c r="I46" s="362"/>
      <c r="J46" s="362"/>
      <c r="K46" s="359"/>
    </row>
    <row r="47" spans="1:11" s="360" customFormat="1" ht="12" customHeight="1">
      <c r="A47" s="364" t="s">
        <v>152</v>
      </c>
      <c r="B47" s="361">
        <f>'Sources and Uses Budget'!C47</f>
        <v>1024000</v>
      </c>
      <c r="C47" s="362">
        <f t="shared" si="4"/>
        <v>1024000</v>
      </c>
      <c r="D47" s="362"/>
      <c r="E47" s="361">
        <f>'Sources and Uses Budget'!S47</f>
        <v>711111</v>
      </c>
      <c r="F47" s="362">
        <f t="shared" si="5"/>
        <v>711111</v>
      </c>
      <c r="G47" s="362"/>
      <c r="H47" s="361">
        <f>'Sources and Uses Budget'!T47</f>
        <v>0</v>
      </c>
      <c r="I47" s="362"/>
      <c r="J47" s="362"/>
      <c r="K47" s="359"/>
    </row>
    <row r="48" spans="1:11" s="360" customFormat="1">
      <c r="A48" s="364" t="s">
        <v>153</v>
      </c>
      <c r="B48" s="361">
        <f>'Sources and Uses Budget'!C48</f>
        <v>191432</v>
      </c>
      <c r="C48" s="362">
        <f t="shared" si="4"/>
        <v>191432</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0</v>
      </c>
      <c r="C49" s="362">
        <f t="shared" si="4"/>
        <v>0</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101000</v>
      </c>
      <c r="C50" s="362">
        <f t="shared" si="4"/>
        <v>101000</v>
      </c>
      <c r="D50" s="362"/>
      <c r="E50" s="361">
        <f>'Sources and Uses Budget'!S50</f>
        <v>81000</v>
      </c>
      <c r="F50" s="362">
        <f t="shared" si="5"/>
        <v>81000</v>
      </c>
      <c r="G50" s="362"/>
      <c r="H50" s="361">
        <f>'Sources and Uses Budget'!T50</f>
        <v>0</v>
      </c>
      <c r="I50" s="362"/>
      <c r="J50" s="362"/>
      <c r="K50" s="359"/>
    </row>
    <row r="51" spans="1:11" s="360" customFormat="1">
      <c r="A51" s="364" t="s">
        <v>154</v>
      </c>
      <c r="B51" s="361">
        <f>'Sources and Uses Budget'!C51</f>
        <v>70000</v>
      </c>
      <c r="C51" s="362">
        <f t="shared" si="4"/>
        <v>70000</v>
      </c>
      <c r="D51" s="362"/>
      <c r="E51" s="361">
        <f>'Sources and Uses Budget'!S51</f>
        <v>0</v>
      </c>
      <c r="F51" s="362">
        <f t="shared" si="5"/>
        <v>0</v>
      </c>
      <c r="G51" s="362"/>
      <c r="H51" s="361">
        <f>'Sources and Uses Budget'!T51</f>
        <v>0</v>
      </c>
      <c r="I51" s="362"/>
      <c r="J51" s="362"/>
      <c r="K51" s="359"/>
    </row>
    <row r="52" spans="1:11" s="360" customFormat="1">
      <c r="A52" s="364" t="s">
        <v>155</v>
      </c>
      <c r="B52" s="361">
        <f>'Sources and Uses Budget'!C52</f>
        <v>597078</v>
      </c>
      <c r="C52" s="362">
        <f t="shared" si="4"/>
        <v>597078</v>
      </c>
      <c r="D52" s="362"/>
      <c r="E52" s="361">
        <f>'Sources and Uses Budget'!S52</f>
        <v>597078</v>
      </c>
      <c r="F52" s="362">
        <f t="shared" si="5"/>
        <v>597078</v>
      </c>
      <c r="G52" s="362"/>
      <c r="H52" s="361">
        <f>'Sources and Uses Budget'!T52</f>
        <v>0</v>
      </c>
      <c r="I52" s="362"/>
      <c r="J52" s="362"/>
      <c r="K52" s="359"/>
    </row>
    <row r="53" spans="1:11" s="360" customFormat="1" ht="24">
      <c r="A53" s="364" t="str">
        <f>'Sources and Uses Budget'!$A53</f>
        <v>Other: Construction Loan Interest (Soft Debt Lenders)</v>
      </c>
      <c r="B53" s="361">
        <f>'Sources and Uses Budget'!C53</f>
        <v>1590000</v>
      </c>
      <c r="C53" s="362">
        <f t="shared" si="4"/>
        <v>1590000</v>
      </c>
      <c r="D53" s="362"/>
      <c r="E53" s="361">
        <f>'Sources and Uses Budget'!S53</f>
        <v>726100</v>
      </c>
      <c r="F53" s="362">
        <f t="shared" si="5"/>
        <v>726100</v>
      </c>
      <c r="G53" s="362"/>
      <c r="H53" s="361">
        <f>'Sources and Uses Budget'!T53</f>
        <v>0</v>
      </c>
      <c r="I53" s="362"/>
      <c r="J53" s="362"/>
      <c r="K53" s="359"/>
    </row>
    <row r="54" spans="1:11" s="369" customFormat="1">
      <c r="A54" s="365" t="s">
        <v>157</v>
      </c>
      <c r="B54" s="361">
        <f>'Sources and Uses Budget'!C54</f>
        <v>5545479</v>
      </c>
      <c r="C54" s="367">
        <f>SUM(C45:C53)</f>
        <v>5545479</v>
      </c>
      <c r="D54" s="367">
        <f>SUM(D45:D53)</f>
        <v>0</v>
      </c>
      <c r="E54" s="361">
        <f>'Sources and Uses Budget'!S54</f>
        <v>3943175</v>
      </c>
      <c r="F54" s="367">
        <f>SUM(F45:F53)</f>
        <v>3943175</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164285</v>
      </c>
      <c r="C56" s="362">
        <f t="shared" ref="C56:C61" si="6">B56</f>
        <v>164285</v>
      </c>
      <c r="D56" s="362"/>
      <c r="E56" s="363"/>
      <c r="F56" s="363"/>
      <c r="G56" s="363"/>
      <c r="H56" s="363"/>
      <c r="I56" s="363"/>
      <c r="J56" s="363"/>
      <c r="K56" s="359"/>
    </row>
    <row r="57" spans="1:11" s="360" customFormat="1" ht="12" customHeight="1">
      <c r="A57" s="364" t="s">
        <v>152</v>
      </c>
      <c r="B57" s="361">
        <f>'Sources and Uses Budget'!C57</f>
        <v>20000</v>
      </c>
      <c r="C57" s="362">
        <f t="shared" si="6"/>
        <v>20000</v>
      </c>
      <c r="D57" s="362"/>
      <c r="E57" s="363"/>
      <c r="F57" s="363"/>
      <c r="G57" s="363"/>
      <c r="H57" s="363"/>
      <c r="I57" s="363"/>
      <c r="J57" s="363"/>
      <c r="K57" s="359"/>
    </row>
    <row r="58" spans="1:11" s="360" customFormat="1">
      <c r="A58" s="364" t="s">
        <v>156</v>
      </c>
      <c r="B58" s="361">
        <f>'Sources and Uses Budget'!C58</f>
        <v>35000</v>
      </c>
      <c r="C58" s="362">
        <f t="shared" si="6"/>
        <v>35000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ht="36">
      <c r="A61" s="364" t="str">
        <f>'Sources and Uses Budget'!$A61</f>
        <v xml:space="preserve">Other: Perm Loan Interest (Construction Lender &amp; Soft Debt Lender) </v>
      </c>
      <c r="B61" s="361">
        <f>'Sources and Uses Budget'!C61</f>
        <v>3603552</v>
      </c>
      <c r="C61" s="362">
        <f t="shared" si="6"/>
        <v>3603552</v>
      </c>
      <c r="D61" s="362"/>
      <c r="E61" s="363"/>
      <c r="F61" s="363"/>
      <c r="G61" s="363"/>
      <c r="H61" s="363"/>
      <c r="I61" s="363"/>
      <c r="J61" s="363"/>
      <c r="K61" s="359"/>
    </row>
    <row r="62" spans="1:11" s="360" customFormat="1" ht="13.7" customHeight="1">
      <c r="A62" s="365" t="s">
        <v>301</v>
      </c>
      <c r="B62" s="361">
        <f>'Sources and Uses Budget'!C62</f>
        <v>3822837</v>
      </c>
      <c r="C62" s="361">
        <f>SUM(C56:C61)</f>
        <v>3822837</v>
      </c>
      <c r="D62" s="361">
        <f>SUM(D56:D61)</f>
        <v>0</v>
      </c>
      <c r="E62" s="363"/>
      <c r="F62" s="363"/>
      <c r="G62" s="363"/>
      <c r="H62" s="363"/>
      <c r="I62" s="363"/>
      <c r="J62" s="363"/>
      <c r="K62" s="359"/>
    </row>
    <row r="63" spans="1:11" s="360" customFormat="1">
      <c r="A63" s="370" t="s">
        <v>302</v>
      </c>
      <c r="B63" s="361">
        <f>'Sources and Uses Budget'!C63</f>
        <v>47205318</v>
      </c>
      <c r="C63" s="361">
        <f>SUM(C8+C11+C13+C14+C15+C26+C27+C38+C42+C43+C54+C62)</f>
        <v>47205318</v>
      </c>
      <c r="D63" s="361">
        <f>SUM(D8+D11+D13+D14+D15+D26+D27+D38+D42+D43+D54+D62)</f>
        <v>0</v>
      </c>
      <c r="E63" s="361">
        <f>'Sources and Uses Budget'!S63</f>
        <v>40695614</v>
      </c>
      <c r="F63" s="361">
        <f>SUM(F10+F13+F14+F15+F26+F27+F38+F42+F43+F54)</f>
        <v>40695614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213500</v>
      </c>
      <c r="C65" s="362">
        <f>B65</f>
        <v>213500</v>
      </c>
      <c r="D65" s="362"/>
      <c r="E65" s="361">
        <f>'Sources and Uses Budget'!S65</f>
        <v>158639</v>
      </c>
      <c r="F65" s="362">
        <f t="shared" ref="F65:F69" si="7">E65</f>
        <v>158639</v>
      </c>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f t="shared" si="7"/>
        <v>0</v>
      </c>
      <c r="G66" s="362"/>
      <c r="H66" s="361">
        <f>'Sources and Uses Budget'!T66</f>
        <v>0</v>
      </c>
      <c r="I66" s="362"/>
      <c r="J66" s="362"/>
      <c r="K66" s="359"/>
    </row>
    <row r="67" spans="1:11" s="360" customFormat="1" ht="24">
      <c r="A67" s="283" t="s">
        <v>1629</v>
      </c>
      <c r="B67" s="361">
        <f>'Sources and Uses Budget'!C67</f>
        <v>215000</v>
      </c>
      <c r="C67" s="362">
        <f>B67</f>
        <v>215000</v>
      </c>
      <c r="D67" s="362"/>
      <c r="E67" s="361">
        <f>'Sources and Uses Budget'!S67</f>
        <v>215000</v>
      </c>
      <c r="F67" s="362">
        <f t="shared" si="7"/>
        <v>215000</v>
      </c>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f t="shared" si="7"/>
        <v>0</v>
      </c>
      <c r="G68" s="362"/>
      <c r="H68" s="361">
        <f>'Sources and Uses Budget'!T68</f>
        <v>0</v>
      </c>
      <c r="I68" s="362"/>
      <c r="J68" s="362"/>
      <c r="K68" s="359"/>
    </row>
    <row r="69" spans="1:11" s="360" customFormat="1">
      <c r="A69" s="364" t="str">
        <f>'Sources and Uses Budget'!$A69</f>
        <v xml:space="preserve">Other: Partnership Legal/Other </v>
      </c>
      <c r="B69" s="361">
        <f>'Sources and Uses Budget'!C69</f>
        <v>415000</v>
      </c>
      <c r="C69" s="362">
        <f>B69</f>
        <v>415000</v>
      </c>
      <c r="D69" s="362"/>
      <c r="E69" s="361">
        <f>'Sources and Uses Budget'!S69</f>
        <v>187500</v>
      </c>
      <c r="F69" s="362">
        <f t="shared" si="7"/>
        <v>187500</v>
      </c>
      <c r="G69" s="362"/>
      <c r="H69" s="361">
        <f>'Sources and Uses Budget'!T69</f>
        <v>0</v>
      </c>
      <c r="I69" s="362"/>
      <c r="J69" s="362"/>
      <c r="K69" s="359"/>
    </row>
    <row r="70" spans="1:11" s="360" customFormat="1">
      <c r="A70" s="365" t="s">
        <v>600</v>
      </c>
      <c r="B70" s="361">
        <f>'Sources and Uses Budget'!C70</f>
        <v>843500</v>
      </c>
      <c r="C70" s="361">
        <f>SUM(C64:C69)</f>
        <v>843500</v>
      </c>
      <c r="D70" s="361">
        <f>SUM(D64:D69)</f>
        <v>0</v>
      </c>
      <c r="E70" s="361">
        <f>'Sources and Uses Budget'!S70</f>
        <v>561139</v>
      </c>
      <c r="F70" s="367">
        <f>SUM(F65:F69)</f>
        <v>561139</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831202</v>
      </c>
      <c r="C75" s="362">
        <f>B75</f>
        <v>831202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831202</v>
      </c>
      <c r="C77" s="361">
        <f>SUM(C72:C76)</f>
        <v>831202</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1711987</v>
      </c>
      <c r="C79" s="362">
        <f t="shared" ref="C79:C80" si="8">B79</f>
        <v>1711987</v>
      </c>
      <c r="D79" s="362"/>
      <c r="E79" s="361">
        <f>'Sources and Uses Budget'!S79</f>
        <v>1711987</v>
      </c>
      <c r="F79" s="362">
        <f t="shared" ref="F79:F80" si="9">E79</f>
        <v>1711987</v>
      </c>
      <c r="G79" s="362"/>
      <c r="H79" s="361">
        <f>'Sources and Uses Budget'!T79</f>
        <v>0</v>
      </c>
      <c r="I79" s="362"/>
      <c r="J79" s="362"/>
      <c r="K79" s="359"/>
    </row>
    <row r="80" spans="1:11" s="360" customFormat="1">
      <c r="A80" s="364" t="s">
        <v>58</v>
      </c>
      <c r="B80" s="361">
        <f>'Sources and Uses Budget'!C80</f>
        <v>750000</v>
      </c>
      <c r="C80" s="362">
        <f t="shared" si="8"/>
        <v>750000</v>
      </c>
      <c r="D80" s="362"/>
      <c r="E80" s="361">
        <f>'Sources and Uses Budget'!S80</f>
        <v>750000</v>
      </c>
      <c r="F80" s="362">
        <f t="shared" si="9"/>
        <v>750000</v>
      </c>
      <c r="G80" s="362"/>
      <c r="H80" s="361">
        <f>'Sources and Uses Budget'!T80</f>
        <v>0</v>
      </c>
      <c r="I80" s="362"/>
      <c r="J80" s="362"/>
      <c r="K80" s="359"/>
    </row>
    <row r="81" spans="1:11" s="360" customFormat="1">
      <c r="A81" s="365" t="s">
        <v>1207</v>
      </c>
      <c r="B81" s="361">
        <f>'Sources and Uses Budget'!C81</f>
        <v>2461987</v>
      </c>
      <c r="C81" s="361">
        <f>SUM(C79:C80)</f>
        <v>2461987</v>
      </c>
      <c r="D81" s="361">
        <f>SUM(D79:D80)</f>
        <v>0</v>
      </c>
      <c r="E81" s="361">
        <f>'Sources and Uses Budget'!S81</f>
        <v>2461987</v>
      </c>
      <c r="F81" s="361">
        <f>SUM(F79:F80)</f>
        <v>2461987</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2047</v>
      </c>
      <c r="B83" s="361">
        <f>'Sources and Uses Budget'!C83</f>
        <v>235000</v>
      </c>
      <c r="C83" s="362">
        <f t="shared" ref="C83:C95" si="10">B83</f>
        <v>235000</v>
      </c>
      <c r="D83" s="362"/>
      <c r="E83" s="363"/>
      <c r="F83" s="363"/>
      <c r="G83" s="363"/>
      <c r="H83" s="363"/>
      <c r="I83" s="363"/>
      <c r="J83" s="363"/>
      <c r="K83" s="359"/>
    </row>
    <row r="84" spans="1:11" s="360" customFormat="1">
      <c r="A84" s="145" t="s">
        <v>766</v>
      </c>
      <c r="B84" s="361">
        <f>'Sources and Uses Budget'!C84</f>
        <v>103000</v>
      </c>
      <c r="C84" s="362">
        <f t="shared" si="10"/>
        <v>103000</v>
      </c>
      <c r="D84" s="362"/>
      <c r="E84" s="361">
        <f>'Sources and Uses Budget'!S84</f>
        <v>103000</v>
      </c>
      <c r="F84" s="362">
        <f t="shared" ref="F84:F87" si="11">E84</f>
        <v>103000</v>
      </c>
      <c r="G84" s="362"/>
      <c r="H84" s="361">
        <f>'Sources and Uses Budget'!T84</f>
        <v>0</v>
      </c>
      <c r="I84" s="362"/>
      <c r="J84" s="362"/>
      <c r="K84" s="359"/>
    </row>
    <row r="85" spans="1:11" s="360" customFormat="1">
      <c r="A85" s="145" t="s">
        <v>767</v>
      </c>
      <c r="B85" s="361">
        <f>'Sources and Uses Budget'!C85</f>
        <v>2094595</v>
      </c>
      <c r="C85" s="362">
        <f t="shared" si="10"/>
        <v>2094595</v>
      </c>
      <c r="D85" s="362"/>
      <c r="E85" s="361">
        <f>'Sources and Uses Budget'!S85</f>
        <v>2094595</v>
      </c>
      <c r="F85" s="362">
        <f t="shared" si="11"/>
        <v>2094595</v>
      </c>
      <c r="G85" s="362"/>
      <c r="H85" s="361">
        <f>'Sources and Uses Budget'!T85</f>
        <v>0</v>
      </c>
      <c r="I85" s="362"/>
      <c r="J85" s="362"/>
      <c r="K85" s="359"/>
    </row>
    <row r="86" spans="1:11" s="360" customFormat="1">
      <c r="A86" s="145" t="s">
        <v>768</v>
      </c>
      <c r="B86" s="361">
        <f>'Sources and Uses Budget'!C86</f>
        <v>875872</v>
      </c>
      <c r="C86" s="362">
        <f t="shared" si="10"/>
        <v>875872</v>
      </c>
      <c r="D86" s="362"/>
      <c r="E86" s="361">
        <f>'Sources and Uses Budget'!S86</f>
        <v>875872</v>
      </c>
      <c r="F86" s="362">
        <f t="shared" si="11"/>
        <v>875872</v>
      </c>
      <c r="G86" s="362"/>
      <c r="H86" s="361">
        <f>'Sources and Uses Budget'!T86</f>
        <v>0</v>
      </c>
      <c r="I86" s="362"/>
      <c r="J86" s="362"/>
      <c r="K86" s="359"/>
    </row>
    <row r="87" spans="1:11" s="360" customFormat="1">
      <c r="A87" s="145" t="s">
        <v>769</v>
      </c>
      <c r="B87" s="361">
        <f>'Sources and Uses Budget'!C87</f>
        <v>0</v>
      </c>
      <c r="C87" s="362">
        <f t="shared" si="10"/>
        <v>0</v>
      </c>
      <c r="D87" s="362"/>
      <c r="E87" s="361">
        <f>'Sources and Uses Budget'!S87</f>
        <v>0</v>
      </c>
      <c r="F87" s="362">
        <f t="shared" si="11"/>
        <v>0</v>
      </c>
      <c r="G87" s="362"/>
      <c r="H87" s="361">
        <f>'Sources and Uses Budget'!T87</f>
        <v>0</v>
      </c>
      <c r="I87" s="362"/>
      <c r="J87" s="362"/>
      <c r="K87" s="359"/>
    </row>
    <row r="88" spans="1:11" s="360" customFormat="1">
      <c r="A88" s="145" t="s">
        <v>770</v>
      </c>
      <c r="B88" s="361">
        <f>'Sources and Uses Budget'!C88</f>
        <v>360000</v>
      </c>
      <c r="C88" s="362">
        <f t="shared" si="10"/>
        <v>360000</v>
      </c>
      <c r="D88" s="362"/>
      <c r="E88" s="363"/>
      <c r="F88" s="363"/>
      <c r="G88" s="363"/>
      <c r="H88" s="363"/>
      <c r="I88" s="363"/>
      <c r="J88" s="363"/>
      <c r="K88" s="359"/>
    </row>
    <row r="89" spans="1:11" s="360" customFormat="1">
      <c r="A89" s="145" t="s">
        <v>771</v>
      </c>
      <c r="B89" s="361">
        <f>'Sources and Uses Budget'!C89</f>
        <v>380200</v>
      </c>
      <c r="C89" s="362">
        <f t="shared" si="10"/>
        <v>380200</v>
      </c>
      <c r="D89" s="362"/>
      <c r="E89" s="361">
        <f>'Sources and Uses Budget'!S89</f>
        <v>380200</v>
      </c>
      <c r="F89" s="362">
        <f t="shared" ref="F89:F95" si="12">E89</f>
        <v>380200</v>
      </c>
      <c r="G89" s="362"/>
      <c r="H89" s="361">
        <f>'Sources and Uses Budget'!T89</f>
        <v>0</v>
      </c>
      <c r="I89" s="362"/>
      <c r="J89" s="362"/>
      <c r="K89" s="359"/>
    </row>
    <row r="90" spans="1:11" s="360" customFormat="1">
      <c r="A90" s="145" t="s">
        <v>772</v>
      </c>
      <c r="B90" s="361">
        <f>'Sources and Uses Budget'!C90</f>
        <v>7750</v>
      </c>
      <c r="C90" s="362">
        <f t="shared" si="10"/>
        <v>7750</v>
      </c>
      <c r="D90" s="362"/>
      <c r="E90" s="361">
        <f>'Sources and Uses Budget'!S90</f>
        <v>7750</v>
      </c>
      <c r="F90" s="362">
        <f t="shared" si="12"/>
        <v>7750</v>
      </c>
      <c r="G90" s="362"/>
      <c r="H90" s="361">
        <f>'Sources and Uses Budget'!T90</f>
        <v>0</v>
      </c>
      <c r="I90" s="362"/>
      <c r="J90" s="362"/>
      <c r="K90" s="359"/>
    </row>
    <row r="91" spans="1:11" s="360" customFormat="1">
      <c r="A91" s="155" t="s">
        <v>372</v>
      </c>
      <c r="B91" s="361">
        <f>'Sources and Uses Budget'!C91</f>
        <v>204000</v>
      </c>
      <c r="C91" s="362">
        <f t="shared" si="10"/>
        <v>204000</v>
      </c>
      <c r="D91" s="362"/>
      <c r="E91" s="361">
        <f>'Sources and Uses Budget'!S91</f>
        <v>204000</v>
      </c>
      <c r="F91" s="362">
        <f t="shared" si="12"/>
        <v>204000</v>
      </c>
      <c r="G91" s="362"/>
      <c r="H91" s="361">
        <f>'Sources and Uses Budget'!T91</f>
        <v>0</v>
      </c>
      <c r="I91" s="362"/>
      <c r="J91" s="362"/>
      <c r="K91" s="359"/>
    </row>
    <row r="92" spans="1:11" s="360" customFormat="1">
      <c r="A92" s="508" t="s">
        <v>1209</v>
      </c>
      <c r="B92" s="361">
        <f>'Sources and Uses Budget'!C92</f>
        <v>0</v>
      </c>
      <c r="C92" s="362">
        <f t="shared" si="10"/>
        <v>0</v>
      </c>
      <c r="D92" s="362"/>
      <c r="E92" s="361">
        <f>'Sources and Uses Budget'!S92</f>
        <v>0</v>
      </c>
      <c r="F92" s="362">
        <f t="shared" si="12"/>
        <v>0</v>
      </c>
      <c r="G92" s="362"/>
      <c r="H92" s="361">
        <f>'Sources and Uses Budget'!T92</f>
        <v>0</v>
      </c>
      <c r="I92" s="362"/>
      <c r="J92" s="362"/>
      <c r="K92" s="359"/>
    </row>
    <row r="93" spans="1:11" s="360" customFormat="1">
      <c r="A93" s="364" t="str">
        <f>'Sources and Uses Budget'!$A93</f>
        <v>Other: Misc. City/County/Other Fees</v>
      </c>
      <c r="B93" s="361">
        <f>'Sources and Uses Budget'!C93</f>
        <v>7879</v>
      </c>
      <c r="C93" s="362">
        <f t="shared" si="10"/>
        <v>7879</v>
      </c>
      <c r="D93" s="362"/>
      <c r="E93" s="361">
        <f>'Sources and Uses Budget'!S93</f>
        <v>0</v>
      </c>
      <c r="F93" s="362">
        <f t="shared" si="12"/>
        <v>0</v>
      </c>
      <c r="G93" s="362"/>
      <c r="H93" s="361">
        <f>'Sources and Uses Budget'!T93</f>
        <v>0</v>
      </c>
      <c r="I93" s="362"/>
      <c r="J93" s="362"/>
      <c r="K93" s="359"/>
    </row>
    <row r="94" spans="1:11" s="360" customFormat="1">
      <c r="A94" s="364" t="str">
        <f>'Sources and Uses Budget'!$A94</f>
        <v xml:space="preserve">Other: Organizational Costs </v>
      </c>
      <c r="B94" s="361">
        <f>'Sources and Uses Budget'!C94</f>
        <v>42400</v>
      </c>
      <c r="C94" s="362">
        <f t="shared" si="10"/>
        <v>42400</v>
      </c>
      <c r="D94" s="362"/>
      <c r="E94" s="361">
        <f>'Sources and Uses Budget'!S94</f>
        <v>0</v>
      </c>
      <c r="F94" s="362">
        <f t="shared" si="12"/>
        <v>0</v>
      </c>
      <c r="G94" s="362"/>
      <c r="H94" s="361">
        <f>'Sources and Uses Budget'!T94</f>
        <v>0</v>
      </c>
      <c r="I94" s="362"/>
      <c r="J94" s="362"/>
      <c r="K94" s="359"/>
    </row>
    <row r="95" spans="1:11" s="360" customFormat="1">
      <c r="A95" s="364" t="str">
        <f>'Sources and Uses Budget'!$A95</f>
        <v>Other: Utility Connections/Deposits</v>
      </c>
      <c r="B95" s="361">
        <f>'Sources and Uses Budget'!C95</f>
        <v>1168572</v>
      </c>
      <c r="C95" s="362">
        <f t="shared" si="10"/>
        <v>1168572</v>
      </c>
      <c r="D95" s="362"/>
      <c r="E95" s="361">
        <f>'Sources and Uses Budget'!S95</f>
        <v>1068572</v>
      </c>
      <c r="F95" s="362">
        <f t="shared" si="12"/>
        <v>1068572</v>
      </c>
      <c r="G95" s="362"/>
      <c r="H95" s="361">
        <f>'Sources and Uses Budget'!T95</f>
        <v>0</v>
      </c>
      <c r="I95" s="362"/>
      <c r="J95" s="362"/>
      <c r="K95" s="359"/>
    </row>
    <row r="96" spans="1:11" s="360" customFormat="1">
      <c r="A96" s="365" t="s">
        <v>773</v>
      </c>
      <c r="B96" s="361">
        <f>'Sources and Uses Budget'!C96</f>
        <v>5479268</v>
      </c>
      <c r="C96" s="361">
        <f>SUM(C83:C95)</f>
        <v>5479268</v>
      </c>
      <c r="D96" s="361">
        <f>SUM(D83:D95)</f>
        <v>0</v>
      </c>
      <c r="E96" s="361">
        <f>'Sources and Uses Budget'!S96</f>
        <v>4733989</v>
      </c>
      <c r="F96" s="367">
        <f>SUM(F84:F87,F89:F95)</f>
        <v>4733989</v>
      </c>
      <c r="G96" s="367">
        <f>SUM(G84:G87,G89:G95)</f>
        <v>0</v>
      </c>
      <c r="H96" s="361">
        <f>'Sources and Uses Budget'!T96</f>
        <v>0</v>
      </c>
      <c r="I96" s="361">
        <f>SUM(I84:I87,I89:I95)</f>
        <v>0</v>
      </c>
      <c r="J96" s="361">
        <f>SUM(J84:J87,J89:J95)</f>
        <v>0</v>
      </c>
      <c r="K96" s="359"/>
    </row>
    <row r="97" spans="1:11" s="360" customFormat="1">
      <c r="A97" s="365" t="s">
        <v>1027</v>
      </c>
      <c r="B97" s="361">
        <f>'Sources and Uses Budget'!C97</f>
        <v>56821275</v>
      </c>
      <c r="C97" s="361">
        <f>SUM(C63+C70+C77+C81+C96)</f>
        <v>56821275</v>
      </c>
      <c r="D97" s="361">
        <f>SUM(D63+D70+D77+D81+D96)</f>
        <v>0</v>
      </c>
      <c r="E97" s="361">
        <f>'Sources and Uses Budget'!S97</f>
        <v>48452729</v>
      </c>
      <c r="F97" s="367">
        <f>SUM(+F63+F70+F81+F96)</f>
        <v>48452729</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7267909</v>
      </c>
      <c r="C99" s="362">
        <f>B99</f>
        <v>7267909</v>
      </c>
      <c r="D99" s="362"/>
      <c r="E99" s="361">
        <f>'Sources and Uses Budget'!S99</f>
        <v>7267909</v>
      </c>
      <c r="F99" s="362">
        <f>E99</f>
        <v>7267909</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7267909</v>
      </c>
      <c r="C104" s="361">
        <f>SUM(C99:C103)</f>
        <v>7267909</v>
      </c>
      <c r="D104" s="361">
        <f>SUM(D99:D103)</f>
        <v>0</v>
      </c>
      <c r="E104" s="361">
        <f>'Sources and Uses Budget'!S104</f>
        <v>7267909</v>
      </c>
      <c r="F104" s="367">
        <f>SUM(F99:F103)</f>
        <v>7267909</v>
      </c>
      <c r="G104" s="367">
        <f>SUM(G99:G103)</f>
        <v>0</v>
      </c>
      <c r="H104" s="361">
        <f>'Sources and Uses Budget'!T104</f>
        <v>0</v>
      </c>
      <c r="I104" s="367">
        <f>SUM(I99:I103)</f>
        <v>0</v>
      </c>
      <c r="J104" s="367">
        <f>SUM(J99:J103)</f>
        <v>0</v>
      </c>
      <c r="K104" s="359"/>
    </row>
    <row r="105" spans="1:11" s="360" customFormat="1">
      <c r="A105" s="365" t="s">
        <v>1028</v>
      </c>
      <c r="B105" s="361">
        <f>'Sources and Uses Budget'!C105</f>
        <v>64089184</v>
      </c>
      <c r="C105" s="367">
        <f>SUM(C97+C104)</f>
        <v>64089184</v>
      </c>
      <c r="D105" s="367">
        <f>SUM(D97+D104)</f>
        <v>0</v>
      </c>
      <c r="E105" s="361">
        <f>'Sources and Uses Budget'!S105</f>
        <v>55720638</v>
      </c>
      <c r="F105" s="367">
        <f>F97+F104</f>
        <v>55720638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55720638</v>
      </c>
      <c r="F107" s="367">
        <f>F105+F106</f>
        <v>55720638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851"/>
      <c r="F124" s="1851"/>
      <c r="G124" s="1851"/>
      <c r="H124" s="1851"/>
      <c r="I124" s="1851"/>
      <c r="J124" s="376"/>
      <c r="K124" s="359"/>
    </row>
    <row r="125" spans="1:11" s="360" customFormat="1" ht="12.75">
      <c r="A125" s="385"/>
      <c r="B125" s="384"/>
      <c r="C125" s="385"/>
      <c r="D125" s="1851"/>
      <c r="E125" s="1851"/>
      <c r="F125" s="1851"/>
      <c r="G125" s="1851"/>
      <c r="H125" s="1851"/>
      <c r="I125" s="1851"/>
      <c r="J125" s="376"/>
      <c r="K125" s="359"/>
    </row>
    <row r="126" spans="1:11" s="360" customFormat="1" ht="12.75">
      <c r="A126" s="385"/>
      <c r="B126" s="384"/>
      <c r="C126" s="385"/>
      <c r="D126" s="1851"/>
      <c r="E126" s="1851"/>
      <c r="F126" s="1851"/>
      <c r="G126" s="1851"/>
      <c r="H126" s="1851"/>
      <c r="I126" s="1851"/>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851"/>
      <c r="C139" s="1851"/>
      <c r="D139" s="356"/>
      <c r="E139" s="385"/>
      <c r="F139" s="385"/>
      <c r="G139" s="385"/>
    </row>
    <row r="140" spans="1:11" ht="12" customHeight="1">
      <c r="A140" s="1824"/>
      <c r="B140" s="1824"/>
      <c r="C140" s="182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9"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3" t="s">
        <v>2386</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2385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7" t="s">
        <v>2586</v>
      </c>
      <c r="AY3" s="2178"/>
      <c r="AZ3" s="2178"/>
      <c r="BA3" s="2329"/>
      <c r="BB3" s="2177" t="s">
        <v>2587</v>
      </c>
      <c r="BC3" s="2178"/>
      <c r="BD3" s="2178"/>
      <c r="BE3" s="2329"/>
    </row>
    <row r="4" spans="1:65" ht="15.75" customHeight="1" thickBot="1">
      <c r="A4" s="1207"/>
      <c r="B4" s="1209" t="s">
        <v>655</v>
      </c>
      <c r="C4" s="1209"/>
      <c r="D4" s="1209"/>
      <c r="E4" s="1209"/>
      <c r="F4" s="1209"/>
      <c r="G4" s="1208"/>
      <c r="H4" s="1208"/>
      <c r="I4" s="1208"/>
      <c r="J4" s="1208"/>
      <c r="K4" s="1208"/>
      <c r="L4" s="2320" t="str">
        <f>IF(Application!H18="","",Application!H18)</f>
        <v xml:space="preserve">Greenwood Colorado Apartments </v>
      </c>
      <c r="M4" s="2321"/>
      <c r="N4" s="2321"/>
      <c r="O4" s="2321"/>
      <c r="P4" s="2321"/>
      <c r="Q4" s="2321"/>
      <c r="R4" s="2321"/>
      <c r="S4" s="2321"/>
      <c r="T4" s="2321"/>
      <c r="U4" s="2321"/>
      <c r="V4" s="2321"/>
      <c r="W4" s="2321"/>
      <c r="X4" s="2321"/>
      <c r="Y4" s="2321"/>
      <c r="Z4" s="2321"/>
      <c r="AA4" s="2321"/>
      <c r="AB4" s="2321"/>
      <c r="AC4" s="2322"/>
      <c r="AD4" s="1208"/>
      <c r="AE4" s="1208"/>
      <c r="AF4" s="2309" t="s">
        <v>2384</v>
      </c>
      <c r="AG4" s="2309"/>
      <c r="AH4" s="2309"/>
      <c r="AI4" s="2309"/>
      <c r="AJ4" s="2309"/>
      <c r="AK4" s="2309"/>
      <c r="AL4" s="2309"/>
      <c r="AM4" s="2309"/>
      <c r="AN4" s="2309"/>
      <c r="AO4" s="2309"/>
      <c r="AP4" s="2310"/>
      <c r="AQ4" s="2311"/>
      <c r="AR4" s="2311"/>
      <c r="AS4" s="2311"/>
      <c r="AT4" s="2311"/>
      <c r="AU4" s="2311"/>
      <c r="AV4" s="1208"/>
      <c r="AW4" s="1208"/>
      <c r="AX4" s="2317" t="s">
        <v>2588</v>
      </c>
      <c r="AY4" s="2318"/>
      <c r="AZ4" s="2318"/>
      <c r="BA4" s="2319"/>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9" t="s">
        <v>2383</v>
      </c>
      <c r="AG5" s="2309"/>
      <c r="AH5" s="2309"/>
      <c r="AI5" s="2309"/>
      <c r="AJ5" s="2309"/>
      <c r="AK5" s="2309"/>
      <c r="AL5" s="2309"/>
      <c r="AM5" s="2309"/>
      <c r="AN5" s="2309"/>
      <c r="AO5" s="2309"/>
      <c r="AP5" s="2310"/>
      <c r="AQ5" s="2311"/>
      <c r="AR5" s="2311"/>
      <c r="AS5" s="2311"/>
      <c r="AT5" s="2311"/>
      <c r="AU5" s="2311"/>
      <c r="AV5" s="1208"/>
      <c r="AW5" s="1208"/>
      <c r="AX5" s="2317" t="s">
        <v>2589</v>
      </c>
      <c r="AY5" s="2318"/>
      <c r="AZ5" s="2318"/>
      <c r="BA5" s="2319"/>
      <c r="BB5" s="1210">
        <f t="array" ref="BB5">ROUNDDOWN(SUM(IF((B19:I27&gt;0%)*(B19:I27&lt;=50%),J19:O27,0))/J29,2)</f>
        <v>0.21</v>
      </c>
      <c r="BC5" s="1211"/>
      <c r="BD5" s="1211"/>
      <c r="BE5" s="1212"/>
    </row>
    <row r="6" spans="1:65" ht="15.75" customHeight="1" thickBot="1">
      <c r="A6" s="1207"/>
      <c r="B6" s="1209" t="s">
        <v>2382</v>
      </c>
      <c r="C6" s="1208"/>
      <c r="D6" s="1208"/>
      <c r="E6" s="1208"/>
      <c r="F6" s="1208"/>
      <c r="G6" s="1208"/>
      <c r="H6" s="1208"/>
      <c r="I6" s="1208"/>
      <c r="J6" s="1208"/>
      <c r="K6" s="1208"/>
      <c r="L6" s="2320" t="str">
        <f>IF(Application!H16="","",Application!H16)</f>
        <v xml:space="preserve">Greenwood Colorado, LP </v>
      </c>
      <c r="M6" s="2321"/>
      <c r="N6" s="2321"/>
      <c r="O6" s="2321"/>
      <c r="P6" s="2321"/>
      <c r="Q6" s="2321"/>
      <c r="R6" s="2321"/>
      <c r="S6" s="2321"/>
      <c r="T6" s="2321"/>
      <c r="U6" s="2321"/>
      <c r="V6" s="2321"/>
      <c r="W6" s="2321"/>
      <c r="X6" s="2321"/>
      <c r="Y6" s="2321"/>
      <c r="Z6" s="2321"/>
      <c r="AA6" s="2321"/>
      <c r="AB6" s="2321"/>
      <c r="AC6" s="2322"/>
      <c r="AD6" s="1208"/>
      <c r="AE6" s="1208"/>
      <c r="AF6" s="2312" t="s">
        <v>2381</v>
      </c>
      <c r="AG6" s="2312"/>
      <c r="AH6" s="2312"/>
      <c r="AI6" s="2312"/>
      <c r="AJ6" s="2312"/>
      <c r="AK6" s="2312"/>
      <c r="AL6" s="2312"/>
      <c r="AM6" s="2312"/>
      <c r="AN6" s="2312"/>
      <c r="AO6" s="2312"/>
      <c r="AP6" s="2313"/>
      <c r="AQ6" s="2313"/>
      <c r="AR6" s="2313"/>
      <c r="AS6" s="2313"/>
      <c r="AT6" s="2313"/>
      <c r="AU6" s="2313"/>
      <c r="AV6" s="1208"/>
      <c r="AW6" s="1208"/>
      <c r="AX6" s="2317" t="s">
        <v>2590</v>
      </c>
      <c r="AY6" s="2318"/>
      <c r="AZ6" s="2318"/>
      <c r="BA6" s="2319"/>
      <c r="BB6" s="1210">
        <f t="array" ref="BB6">ROUNDDOWN(SUM(IF((B19:I27&gt;60%)*(B19:I27&lt;=80%),J19:O27,0))/J29,2)</f>
        <v>0.42</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2" t="s">
        <v>2380</v>
      </c>
      <c r="AG7" s="2312"/>
      <c r="AH7" s="2312"/>
      <c r="AI7" s="2312"/>
      <c r="AJ7" s="2312"/>
      <c r="AK7" s="2312"/>
      <c r="AL7" s="2312"/>
      <c r="AM7" s="2312"/>
      <c r="AN7" s="2312"/>
      <c r="AO7" s="2312"/>
      <c r="AP7" s="2313"/>
      <c r="AQ7" s="2313"/>
      <c r="AR7" s="2313"/>
      <c r="AS7" s="2313"/>
      <c r="AT7" s="2313"/>
      <c r="AU7" s="2313"/>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4" t="str">
        <f>Application!T197</f>
        <v>No</v>
      </c>
      <c r="AC8" s="2315"/>
      <c r="AD8" s="2316"/>
      <c r="AE8" s="1208"/>
      <c r="AF8" s="2312" t="s">
        <v>2379</v>
      </c>
      <c r="AG8" s="2312"/>
      <c r="AH8" s="2312"/>
      <c r="AI8" s="2312"/>
      <c r="AJ8" s="2312"/>
      <c r="AK8" s="2312"/>
      <c r="AL8" s="2312"/>
      <c r="AM8" s="2312"/>
      <c r="AN8" s="2312"/>
      <c r="AO8" s="2312"/>
      <c r="AP8" s="2313" t="s">
        <v>2051</v>
      </c>
      <c r="AQ8" s="2313"/>
      <c r="AR8" s="2313"/>
      <c r="AS8" s="2313"/>
      <c r="AT8" s="2313"/>
      <c r="AU8" s="2313"/>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9" t="s">
        <v>2378</v>
      </c>
      <c r="AG9" s="2309"/>
      <c r="AH9" s="2309"/>
      <c r="AI9" s="2309"/>
      <c r="AJ9" s="2309"/>
      <c r="AK9" s="2309"/>
      <c r="AL9" s="2309"/>
      <c r="AM9" s="2309"/>
      <c r="AN9" s="2309"/>
      <c r="AO9" s="2309"/>
      <c r="AP9" s="2310"/>
      <c r="AQ9" s="2311"/>
      <c r="AR9" s="2311"/>
      <c r="AS9" s="2311"/>
      <c r="AT9" s="2311"/>
      <c r="AU9" s="2311"/>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2308">
        <f>Application!AO635</f>
        <v>15654500</v>
      </c>
      <c r="O10" s="2308"/>
      <c r="P10" s="2308"/>
      <c r="Q10" s="2308"/>
      <c r="R10" s="2308"/>
      <c r="S10" s="2308"/>
      <c r="T10" s="2308"/>
      <c r="U10" s="1208"/>
      <c r="V10" s="1208"/>
      <c r="W10" s="1208"/>
      <c r="X10" s="1214"/>
      <c r="Y10" s="1214"/>
      <c r="Z10" s="1214"/>
      <c r="AA10" s="1214"/>
      <c r="AB10" s="1214"/>
      <c r="AC10" s="1214"/>
      <c r="AD10" s="1214"/>
      <c r="AE10" s="1214"/>
      <c r="AF10" s="2309" t="s">
        <v>2375</v>
      </c>
      <c r="AG10" s="2309"/>
      <c r="AH10" s="2309"/>
      <c r="AI10" s="2309"/>
      <c r="AJ10" s="2309"/>
      <c r="AK10" s="2309"/>
      <c r="AL10" s="2309"/>
      <c r="AM10" s="2309"/>
      <c r="AN10" s="2309"/>
      <c r="AO10" s="2309"/>
      <c r="AP10" s="2310"/>
      <c r="AQ10" s="2311"/>
      <c r="AR10" s="2311"/>
      <c r="AS10" s="2311"/>
      <c r="AT10" s="2311"/>
      <c r="AU10" s="2311"/>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2308">
        <f>Application!AA943</f>
        <v>0</v>
      </c>
      <c r="O11" s="2308"/>
      <c r="P11" s="2308"/>
      <c r="Q11" s="2308"/>
      <c r="R11" s="2308"/>
      <c r="S11" s="2308"/>
      <c r="T11" s="2308"/>
      <c r="U11" s="1208"/>
      <c r="V11" s="1208"/>
      <c r="W11" s="1208"/>
      <c r="X11" s="1214"/>
      <c r="Y11" s="1214"/>
      <c r="Z11" s="1214"/>
      <c r="AA11" s="1214"/>
      <c r="AB11" s="1214"/>
      <c r="AC11" s="1214"/>
      <c r="AD11" s="1214"/>
      <c r="AE11" s="1214"/>
      <c r="AF11" s="2309" t="s">
        <v>2372</v>
      </c>
      <c r="AG11" s="2309"/>
      <c r="AH11" s="2309"/>
      <c r="AI11" s="2309"/>
      <c r="AJ11" s="2309"/>
      <c r="AK11" s="2309"/>
      <c r="AL11" s="2309"/>
      <c r="AM11" s="2309"/>
      <c r="AN11" s="2309"/>
      <c r="AO11" s="2309"/>
      <c r="AP11" s="2310"/>
      <c r="AQ11" s="2311"/>
      <c r="AR11" s="2311"/>
      <c r="AS11" s="2311"/>
      <c r="AT11" s="2311"/>
      <c r="AU11" s="2311"/>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2299" t="s">
        <v>2370</v>
      </c>
      <c r="C13" s="2300"/>
      <c r="D13" s="2300"/>
      <c r="E13" s="2300"/>
      <c r="F13" s="2300"/>
      <c r="G13" s="2300"/>
      <c r="H13" s="2300"/>
      <c r="I13" s="2300"/>
      <c r="J13" s="2300"/>
      <c r="K13" s="2300"/>
      <c r="L13" s="2300"/>
      <c r="M13" s="2300"/>
      <c r="N13" s="2300"/>
      <c r="O13" s="2300"/>
      <c r="P13" s="2301"/>
      <c r="Q13" s="2302" t="s">
        <v>668</v>
      </c>
      <c r="R13" s="2303"/>
      <c r="S13" s="2303"/>
      <c r="T13" s="2304"/>
      <c r="U13" s="1214"/>
      <c r="V13" s="1208"/>
      <c r="W13" s="1208"/>
      <c r="X13" s="1208"/>
      <c r="Y13" s="1208"/>
      <c r="Z13" s="1208"/>
      <c r="AA13" s="2289" t="s">
        <v>2369</v>
      </c>
      <c r="AB13" s="2289"/>
      <c r="AC13" s="2289"/>
      <c r="AD13" s="2289"/>
      <c r="AE13" s="2289"/>
      <c r="AF13" s="2289"/>
      <c r="AG13" s="2289"/>
      <c r="AH13" s="2289"/>
      <c r="AI13" s="2289"/>
      <c r="AJ13" s="2289"/>
      <c r="AK13" s="2289"/>
      <c r="AL13" s="2289"/>
      <c r="AM13" s="2289"/>
      <c r="AN13" s="2289"/>
      <c r="AO13" s="2305">
        <f>Application!W481</f>
        <v>42</v>
      </c>
      <c r="AP13" s="2306"/>
      <c r="AQ13" s="2306"/>
      <c r="AR13" s="2306"/>
      <c r="AS13" s="2306"/>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7" t="s">
        <v>2367</v>
      </c>
      <c r="AB14" s="2307"/>
      <c r="AC14" s="2307"/>
      <c r="AD14" s="2307"/>
      <c r="AE14" s="2307"/>
      <c r="AF14" s="2307"/>
      <c r="AG14" s="2307"/>
      <c r="AH14" s="2307"/>
      <c r="AI14" s="2307"/>
      <c r="AJ14" s="2307"/>
      <c r="AK14" s="2307"/>
      <c r="AL14" s="2307"/>
      <c r="AM14" s="2307"/>
      <c r="AN14" s="2307"/>
      <c r="AO14" s="2290"/>
      <c r="AP14" s="2291"/>
      <c r="AQ14" s="2291"/>
      <c r="AR14" s="2291"/>
      <c r="AS14" s="2291"/>
      <c r="AT14" s="1214"/>
      <c r="AU14" s="1214"/>
      <c r="AV14" s="1214"/>
      <c r="AW14" s="1214"/>
      <c r="AX14" s="1214"/>
      <c r="AY14" s="1214"/>
      <c r="AZ14" s="1214"/>
      <c r="BA14" s="1214"/>
      <c r="BB14" s="1214"/>
      <c r="BC14" s="1214"/>
      <c r="BD14" s="1214"/>
      <c r="BE14" s="1215"/>
    </row>
    <row r="15" spans="1:65" thickBot="1">
      <c r="A15" s="1208"/>
      <c r="B15" s="2284" t="s">
        <v>2366</v>
      </c>
      <c r="C15" s="2285"/>
      <c r="D15" s="2285"/>
      <c r="E15" s="2285"/>
      <c r="F15" s="2285"/>
      <c r="G15" s="2285"/>
      <c r="H15" s="2285"/>
      <c r="I15" s="2285"/>
      <c r="J15" s="2285"/>
      <c r="K15" s="2285"/>
      <c r="L15" s="2285"/>
      <c r="M15" s="2285"/>
      <c r="N15" s="2285"/>
      <c r="O15" s="2285"/>
      <c r="P15" s="2285"/>
      <c r="Q15" s="2285"/>
      <c r="R15" s="2286"/>
      <c r="S15" s="2287" t="str">
        <f>IF(Application!AB215="","",Application!AB215)</f>
        <v/>
      </c>
      <c r="T15" s="2287"/>
      <c r="U15" s="2287"/>
      <c r="V15" s="2287"/>
      <c r="W15" s="2288"/>
      <c r="X15" s="1214"/>
      <c r="Y15" s="1208"/>
      <c r="Z15" s="1208"/>
      <c r="AA15" s="2289" t="s">
        <v>2365</v>
      </c>
      <c r="AB15" s="2289"/>
      <c r="AC15" s="2289"/>
      <c r="AD15" s="2289"/>
      <c r="AE15" s="2289"/>
      <c r="AF15" s="2289"/>
      <c r="AG15" s="2289"/>
      <c r="AH15" s="2289"/>
      <c r="AI15" s="2289"/>
      <c r="AJ15" s="2289"/>
      <c r="AK15" s="2289"/>
      <c r="AL15" s="2289"/>
      <c r="AM15" s="2289"/>
      <c r="AN15" s="2289"/>
      <c r="AO15" s="2290"/>
      <c r="AP15" s="2291"/>
      <c r="AQ15" s="2291"/>
      <c r="AR15" s="2291"/>
      <c r="AS15" s="229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2" t="s">
        <v>2364</v>
      </c>
      <c r="C17" s="2113"/>
      <c r="D17" s="2113"/>
      <c r="E17" s="2113"/>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4"/>
      <c r="AZ17" s="1208"/>
      <c r="BA17" s="1208"/>
      <c r="BB17" s="1208"/>
      <c r="BC17" s="1208"/>
      <c r="BD17" s="1208"/>
      <c r="BE17" s="1215"/>
      <c r="BF17" s="1206"/>
    </row>
    <row r="18" spans="1:58" ht="15.75" customHeight="1">
      <c r="A18" s="1208"/>
      <c r="B18" s="2292" t="s">
        <v>2363</v>
      </c>
      <c r="C18" s="2293"/>
      <c r="D18" s="2293"/>
      <c r="E18" s="2293"/>
      <c r="F18" s="2293"/>
      <c r="G18" s="2293"/>
      <c r="H18" s="2293"/>
      <c r="I18" s="2294"/>
      <c r="J18" s="2295" t="s">
        <v>1573</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2362</v>
      </c>
      <c r="AU18" s="2296"/>
      <c r="AV18" s="2296"/>
      <c r="AW18" s="2296"/>
      <c r="AX18" s="2296"/>
      <c r="AY18" s="2298"/>
      <c r="AZ18" s="1208"/>
      <c r="BA18" s="1208"/>
      <c r="BB18" s="1208"/>
      <c r="BC18" s="1208"/>
      <c r="BD18" s="1208"/>
      <c r="BE18" s="1215"/>
    </row>
    <row r="19" spans="1:58" ht="15">
      <c r="A19" s="1208"/>
      <c r="B19" s="2278">
        <v>0.3</v>
      </c>
      <c r="C19" s="2279"/>
      <c r="D19" s="2279"/>
      <c r="E19" s="2279"/>
      <c r="F19" s="2279"/>
      <c r="G19" s="2279"/>
      <c r="H19" s="2279"/>
      <c r="I19" s="2280"/>
      <c r="J19" s="2281">
        <f t="shared" ref="J19:J24" si="0">SUM(P19:AS19)</f>
        <v>16</v>
      </c>
      <c r="K19" s="2282"/>
      <c r="L19" s="2282"/>
      <c r="M19" s="2282"/>
      <c r="N19" s="2282"/>
      <c r="O19" s="2283"/>
      <c r="P19" s="2281" cm="1">
        <f t="array" ref="P19">SUMPRODUCT((Application!$B$726:$B$760 = 'CalHFA Addendum'!P$18)*(Application!$AC$726:$AC$760 = 'CalHFA Addendum'!$B19),Application!$G$726:$G$760)</f>
        <v>0</v>
      </c>
      <c r="Q19" s="2282"/>
      <c r="R19" s="2282"/>
      <c r="S19" s="2282"/>
      <c r="T19" s="2282"/>
      <c r="U19" s="2283"/>
      <c r="V19" s="2281" cm="1">
        <f t="array" ref="V19">SUMPRODUCT((Application!$B$726:$B$760 = 'CalHFA Addendum'!V$18)*(Application!$AC$726:$AC$760 = 'CalHFA Addendum'!$B19),Application!$G$726:$G$760)</f>
        <v>16</v>
      </c>
      <c r="W19" s="2282"/>
      <c r="X19" s="2282"/>
      <c r="Y19" s="2282"/>
      <c r="Z19" s="2282"/>
      <c r="AA19" s="2283"/>
      <c r="AB19" s="2281" cm="1">
        <f t="array" ref="AB19">SUMPRODUCT((Application!$B$726:$B$760 = 'CalHFA Addendum'!AB$18)*(Application!$AC$726:$AC$760 = 'CalHFA Addendum'!$B19),Application!$G$726:$G$760)</f>
        <v>0</v>
      </c>
      <c r="AC19" s="2282"/>
      <c r="AD19" s="2282"/>
      <c r="AE19" s="2282"/>
      <c r="AF19" s="2282"/>
      <c r="AG19" s="2283"/>
      <c r="AH19" s="2281" cm="1">
        <f t="array" ref="AH19">SUMPRODUCT((Application!$B$726:$B$760 = 'CalHFA Addendum'!AH$18)*(Application!$AC$726:$AC$760 = 'CalHFA Addendum'!$B19),Application!$G$726:$G$760)</f>
        <v>0</v>
      </c>
      <c r="AI19" s="2282"/>
      <c r="AJ19" s="2282"/>
      <c r="AK19" s="2282"/>
      <c r="AL19" s="2282"/>
      <c r="AM19" s="2283"/>
      <c r="AN19" s="2281" cm="1">
        <f t="array" ref="AN19">SUMPRODUCT((Application!$B$726:$B$760 = 'CalHFA Addendum'!AN$18)*(Application!$AC$726:$AC$760 = 'CalHFA Addendum'!$B19),Application!$G$726:$G$760)</f>
        <v>0</v>
      </c>
      <c r="AO19" s="2282"/>
      <c r="AP19" s="2282"/>
      <c r="AQ19" s="2282"/>
      <c r="AR19" s="2282"/>
      <c r="AS19" s="2283"/>
      <c r="AT19" s="2266">
        <f>J19/$J$29</f>
        <v>0.1038961038961039</v>
      </c>
      <c r="AU19" s="2267"/>
      <c r="AV19" s="2267"/>
      <c r="AW19" s="2267"/>
      <c r="AX19" s="2267"/>
      <c r="AY19" s="2268"/>
      <c r="AZ19" s="1216"/>
      <c r="BA19" s="1208"/>
      <c r="BB19" s="1208"/>
      <c r="BC19" s="1208"/>
      <c r="BD19" s="1208"/>
      <c r="BE19" s="1215"/>
    </row>
    <row r="20" spans="1:58" ht="15" customHeight="1">
      <c r="A20" s="1208"/>
      <c r="B20" s="2278">
        <v>0.4</v>
      </c>
      <c r="C20" s="2279"/>
      <c r="D20" s="2279"/>
      <c r="E20" s="2279"/>
      <c r="F20" s="2279"/>
      <c r="G20" s="2279"/>
      <c r="H20" s="2279"/>
      <c r="I20" s="2280"/>
      <c r="J20" s="2281">
        <f t="shared" si="0"/>
        <v>0</v>
      </c>
      <c r="K20" s="2282"/>
      <c r="L20" s="2282"/>
      <c r="M20" s="2282"/>
      <c r="N20" s="2282"/>
      <c r="O20" s="2283"/>
      <c r="P20" s="2281" cm="1">
        <f t="array" ref="P20">SUMPRODUCT((Application!$B$726:$B$760 = 'CalHFA Addendum'!P$18)*(Application!$AC$726:$AC$760 = 'CalHFA Addendum'!$B20),Application!$G$726:$G$760)</f>
        <v>0</v>
      </c>
      <c r="Q20" s="2282"/>
      <c r="R20" s="2282"/>
      <c r="S20" s="2282"/>
      <c r="T20" s="2282"/>
      <c r="U20" s="2283"/>
      <c r="V20" s="2281" cm="1">
        <f t="array" ref="V20">SUMPRODUCT((Application!$B$726:$B$760 = 'CalHFA Addendum'!V$18)*(Application!$AC$726:$AC$760 = 'CalHFA Addendum'!$B20),Application!$G$726:$G$760)</f>
        <v>0</v>
      </c>
      <c r="W20" s="2282"/>
      <c r="X20" s="2282"/>
      <c r="Y20" s="2282"/>
      <c r="Z20" s="2282"/>
      <c r="AA20" s="2283"/>
      <c r="AB20" s="2281" cm="1">
        <f t="array" ref="AB20">SUMPRODUCT((Application!$B$726:$B$760 = 'CalHFA Addendum'!AB$18)*(Application!$AC$726:$AC$760 = 'CalHFA Addendum'!$B20),Application!$G$726:$G$760)</f>
        <v>0</v>
      </c>
      <c r="AC20" s="2282"/>
      <c r="AD20" s="2282"/>
      <c r="AE20" s="2282"/>
      <c r="AF20" s="2282"/>
      <c r="AG20" s="2283"/>
      <c r="AH20" s="2281" cm="1">
        <f t="array" ref="AH20">SUMPRODUCT((Application!$B$726:$B$760 = 'CalHFA Addendum'!AH$18)*(Application!$AC$726:$AC$760 = 'CalHFA Addendum'!$B20),Application!$G$726:$G$760)</f>
        <v>0</v>
      </c>
      <c r="AI20" s="2282"/>
      <c r="AJ20" s="2282"/>
      <c r="AK20" s="2282"/>
      <c r="AL20" s="2282"/>
      <c r="AM20" s="2283"/>
      <c r="AN20" s="2281" cm="1">
        <f t="array" ref="AN20">SUMPRODUCT((Application!$B$726:$B$760 = 'CalHFA Addendum'!AN$18)*(Application!$AC$726:$AC$760 = 'CalHFA Addendum'!$B20),Application!$G$726:$G$760)</f>
        <v>0</v>
      </c>
      <c r="AO20" s="2282"/>
      <c r="AP20" s="2282"/>
      <c r="AQ20" s="2282"/>
      <c r="AR20" s="2282"/>
      <c r="AS20" s="2283"/>
      <c r="AT20" s="2266">
        <f t="shared" ref="AT20:AT29" si="1">J20/$J$29</f>
        <v>0</v>
      </c>
      <c r="AU20" s="2267"/>
      <c r="AV20" s="2267"/>
      <c r="AW20" s="2267"/>
      <c r="AX20" s="2267"/>
      <c r="AY20" s="2268"/>
      <c r="AZ20" s="1208"/>
      <c r="BA20" s="1208"/>
      <c r="BB20" s="1208"/>
      <c r="BC20" s="1208"/>
      <c r="BD20" s="1208"/>
      <c r="BE20" s="1215"/>
    </row>
    <row r="21" spans="1:58" ht="15">
      <c r="A21" s="1208"/>
      <c r="B21" s="2278">
        <v>0.5</v>
      </c>
      <c r="C21" s="2279"/>
      <c r="D21" s="2279"/>
      <c r="E21" s="2279"/>
      <c r="F21" s="2279"/>
      <c r="G21" s="2279"/>
      <c r="H21" s="2279"/>
      <c r="I21" s="2280"/>
      <c r="J21" s="2281">
        <f t="shared" si="0"/>
        <v>17</v>
      </c>
      <c r="K21" s="2282"/>
      <c r="L21" s="2282"/>
      <c r="M21" s="2282"/>
      <c r="N21" s="2282"/>
      <c r="O21" s="2283"/>
      <c r="P21" s="2281" cm="1">
        <f t="array" ref="P21">SUMPRODUCT((Application!$B$726:$B$760 = 'CalHFA Addendum'!P$18)*(Application!$AC$726:$AC$760 = 'CalHFA Addendum'!$B21),Application!$G$726:$G$760)</f>
        <v>0</v>
      </c>
      <c r="Q21" s="2282"/>
      <c r="R21" s="2282"/>
      <c r="S21" s="2282"/>
      <c r="T21" s="2282"/>
      <c r="U21" s="2283"/>
      <c r="V21" s="2281" cm="1">
        <f t="array" ref="V21">SUMPRODUCT((Application!$B$726:$B$760 = 'CalHFA Addendum'!V$18)*(Application!$AC$726:$AC$760 = 'CalHFA Addendum'!$B21),Application!$G$726:$G$760)</f>
        <v>7</v>
      </c>
      <c r="W21" s="2282"/>
      <c r="X21" s="2282"/>
      <c r="Y21" s="2282"/>
      <c r="Z21" s="2282"/>
      <c r="AA21" s="2283"/>
      <c r="AB21" s="2281" cm="1">
        <f t="array" ref="AB21">SUMPRODUCT((Application!$B$726:$B$760 = 'CalHFA Addendum'!AB$18)*(Application!$AC$726:$AC$760 = 'CalHFA Addendum'!$B21),Application!$G$726:$G$760)</f>
        <v>5</v>
      </c>
      <c r="AC21" s="2282"/>
      <c r="AD21" s="2282"/>
      <c r="AE21" s="2282"/>
      <c r="AF21" s="2282"/>
      <c r="AG21" s="2283"/>
      <c r="AH21" s="2281" cm="1">
        <f t="array" ref="AH21">SUMPRODUCT((Application!$B$726:$B$760 = 'CalHFA Addendum'!AH$18)*(Application!$AC$726:$AC$760 = 'CalHFA Addendum'!$B21),Application!$G$726:$G$760)</f>
        <v>5</v>
      </c>
      <c r="AI21" s="2282"/>
      <c r="AJ21" s="2282"/>
      <c r="AK21" s="2282"/>
      <c r="AL21" s="2282"/>
      <c r="AM21" s="2283"/>
      <c r="AN21" s="2281" cm="1">
        <f t="array" ref="AN21">SUMPRODUCT((Application!$B$726:$B$760 = 'CalHFA Addendum'!AN$18)*(Application!$AC$726:$AC$760 = 'CalHFA Addendum'!$B21),Application!$G$726:$G$760)</f>
        <v>0</v>
      </c>
      <c r="AO21" s="2282"/>
      <c r="AP21" s="2282"/>
      <c r="AQ21" s="2282"/>
      <c r="AR21" s="2282"/>
      <c r="AS21" s="2283"/>
      <c r="AT21" s="2266">
        <f t="shared" si="1"/>
        <v>0.11038961038961038</v>
      </c>
      <c r="AU21" s="2267"/>
      <c r="AV21" s="2267"/>
      <c r="AW21" s="2267"/>
      <c r="AX21" s="2267"/>
      <c r="AY21" s="2268"/>
      <c r="AZ21" s="1208"/>
      <c r="BA21" s="1208"/>
      <c r="BB21" s="1208"/>
      <c r="BC21" s="1208"/>
      <c r="BD21" s="1208"/>
      <c r="BE21" s="1215"/>
    </row>
    <row r="22" spans="1:58" ht="15">
      <c r="A22" s="1208"/>
      <c r="B22" s="2278">
        <v>0.6</v>
      </c>
      <c r="C22" s="2279"/>
      <c r="D22" s="2279"/>
      <c r="E22" s="2279"/>
      <c r="F22" s="2279"/>
      <c r="G22" s="2279"/>
      <c r="H22" s="2279"/>
      <c r="I22" s="2280"/>
      <c r="J22" s="2281">
        <f t="shared" si="0"/>
        <v>55</v>
      </c>
      <c r="K22" s="2282"/>
      <c r="L22" s="2282"/>
      <c r="M22" s="2282"/>
      <c r="N22" s="2282"/>
      <c r="O22" s="2283"/>
      <c r="P22" s="2281" cm="1">
        <f t="array" ref="P22">SUMPRODUCT((Application!$B$726:$B$760 = 'CalHFA Addendum'!P$18)*(Application!$AC$726:$AC$760 = 'CalHFA Addendum'!$B22),Application!$G$726:$G$760)</f>
        <v>0</v>
      </c>
      <c r="Q22" s="2282"/>
      <c r="R22" s="2282"/>
      <c r="S22" s="2282"/>
      <c r="T22" s="2282"/>
      <c r="U22" s="2283"/>
      <c r="V22" s="2281" cm="1">
        <f t="array" ref="V22">SUMPRODUCT((Application!$B$726:$B$760 = 'CalHFA Addendum'!V$18)*(Application!$AC$726:$AC$760 = 'CalHFA Addendum'!$B22),Application!$G$726:$G$760)</f>
        <v>38</v>
      </c>
      <c r="W22" s="2282"/>
      <c r="X22" s="2282"/>
      <c r="Y22" s="2282"/>
      <c r="Z22" s="2282"/>
      <c r="AA22" s="2283"/>
      <c r="AB22" s="2281" cm="1">
        <f t="array" ref="AB22">SUMPRODUCT((Application!$B$726:$B$760 = 'CalHFA Addendum'!AB$18)*(Application!$AC$726:$AC$760 = 'CalHFA Addendum'!$B22),Application!$G$726:$G$760)</f>
        <v>17</v>
      </c>
      <c r="AC22" s="2282"/>
      <c r="AD22" s="2282"/>
      <c r="AE22" s="2282"/>
      <c r="AF22" s="2282"/>
      <c r="AG22" s="2283"/>
      <c r="AH22" s="2281" cm="1">
        <f t="array" ref="AH22">SUMPRODUCT((Application!$B$726:$B$760 = 'CalHFA Addendum'!AH$18)*(Application!$AC$726:$AC$760 = 'CalHFA Addendum'!$B22),Application!$G$726:$G$760)</f>
        <v>0</v>
      </c>
      <c r="AI22" s="2282"/>
      <c r="AJ22" s="2282"/>
      <c r="AK22" s="2282"/>
      <c r="AL22" s="2282"/>
      <c r="AM22" s="2283"/>
      <c r="AN22" s="2281" cm="1">
        <f t="array" ref="AN22">SUMPRODUCT((Application!$B$726:$B$760 = 'CalHFA Addendum'!AN$18)*(Application!$AC$726:$AC$760 = 'CalHFA Addendum'!$B22),Application!$G$726:$G$760)</f>
        <v>0</v>
      </c>
      <c r="AO22" s="2282"/>
      <c r="AP22" s="2282"/>
      <c r="AQ22" s="2282"/>
      <c r="AR22" s="2282"/>
      <c r="AS22" s="2283"/>
      <c r="AT22" s="2266">
        <f t="shared" si="1"/>
        <v>0.35714285714285715</v>
      </c>
      <c r="AU22" s="2267"/>
      <c r="AV22" s="2267"/>
      <c r="AW22" s="2267"/>
      <c r="AX22" s="2267"/>
      <c r="AY22" s="2268"/>
      <c r="AZ22" s="1208"/>
      <c r="BA22" s="1208"/>
      <c r="BB22" s="1208"/>
      <c r="BC22" s="1208"/>
      <c r="BD22" s="1208"/>
      <c r="BE22" s="1215"/>
    </row>
    <row r="23" spans="1:58" ht="15">
      <c r="A23" s="1208"/>
      <c r="B23" s="2278">
        <v>0.7</v>
      </c>
      <c r="C23" s="2279"/>
      <c r="D23" s="2279"/>
      <c r="E23" s="2279"/>
      <c r="F23" s="2279"/>
      <c r="G23" s="2279"/>
      <c r="H23" s="2279"/>
      <c r="I23" s="2280"/>
      <c r="J23" s="2281">
        <f t="shared" si="0"/>
        <v>65</v>
      </c>
      <c r="K23" s="2282"/>
      <c r="L23" s="2282"/>
      <c r="M23" s="2282"/>
      <c r="N23" s="2282"/>
      <c r="O23" s="2283"/>
      <c r="P23" s="2281" cm="1">
        <f t="array" ref="P23">SUMPRODUCT((Application!$B$726:$B$760 = 'CalHFA Addendum'!P$18)*(Application!$AC$726:$AC$760 = 'CalHFA Addendum'!$B23),Application!$G$726:$G$760)</f>
        <v>0</v>
      </c>
      <c r="Q23" s="2282"/>
      <c r="R23" s="2282"/>
      <c r="S23" s="2282"/>
      <c r="T23" s="2282"/>
      <c r="U23" s="2283"/>
      <c r="V23" s="2281" cm="1">
        <f t="array" ref="V23">SUMPRODUCT((Application!$B$726:$B$760 = 'CalHFA Addendum'!V$18)*(Application!$AC$726:$AC$760 = 'CalHFA Addendum'!$B23),Application!$G$726:$G$760)</f>
        <v>0</v>
      </c>
      <c r="W23" s="2282"/>
      <c r="X23" s="2282"/>
      <c r="Y23" s="2282"/>
      <c r="Z23" s="2282"/>
      <c r="AA23" s="2283"/>
      <c r="AB23" s="2281" cm="1">
        <f t="array" ref="AB23">SUMPRODUCT((Application!$B$726:$B$760 = 'CalHFA Addendum'!AB$18)*(Application!$AC$726:$AC$760 = 'CalHFA Addendum'!$B23),Application!$G$726:$G$760)</f>
        <v>26</v>
      </c>
      <c r="AC23" s="2282"/>
      <c r="AD23" s="2282"/>
      <c r="AE23" s="2282"/>
      <c r="AF23" s="2282"/>
      <c r="AG23" s="2283"/>
      <c r="AH23" s="2281" cm="1">
        <f t="array" ref="AH23">SUMPRODUCT((Application!$B$726:$B$760 = 'CalHFA Addendum'!AH$18)*(Application!$AC$726:$AC$760 = 'CalHFA Addendum'!$B23),Application!$G$726:$G$760)</f>
        <v>39</v>
      </c>
      <c r="AI23" s="2282"/>
      <c r="AJ23" s="2282"/>
      <c r="AK23" s="2282"/>
      <c r="AL23" s="2282"/>
      <c r="AM23" s="2283"/>
      <c r="AN23" s="2281" cm="1">
        <f t="array" ref="AN23">SUMPRODUCT((Application!$B$726:$B$760 = 'CalHFA Addendum'!AN$18)*(Application!$AC$726:$AC$760 = 'CalHFA Addendum'!$B23),Application!$G$726:$G$760)</f>
        <v>0</v>
      </c>
      <c r="AO23" s="2282"/>
      <c r="AP23" s="2282"/>
      <c r="AQ23" s="2282"/>
      <c r="AR23" s="2282"/>
      <c r="AS23" s="2283"/>
      <c r="AT23" s="2266">
        <f t="shared" si="1"/>
        <v>0.42207792207792205</v>
      </c>
      <c r="AU23" s="2267"/>
      <c r="AV23" s="2267"/>
      <c r="AW23" s="2267"/>
      <c r="AX23" s="2267"/>
      <c r="AY23" s="2268"/>
      <c r="AZ23" s="1208"/>
      <c r="BA23" s="1208"/>
      <c r="BB23" s="1208"/>
      <c r="BC23" s="1208"/>
      <c r="BD23" s="1208"/>
      <c r="BE23" s="1215"/>
    </row>
    <row r="24" spans="1:58" ht="15">
      <c r="A24" s="1208"/>
      <c r="B24" s="2278">
        <v>0.8</v>
      </c>
      <c r="C24" s="2279"/>
      <c r="D24" s="2279"/>
      <c r="E24" s="2279"/>
      <c r="F24" s="2279"/>
      <c r="G24" s="2279"/>
      <c r="H24" s="2279"/>
      <c r="I24" s="2280"/>
      <c r="J24" s="2281">
        <f t="shared" si="0"/>
        <v>0</v>
      </c>
      <c r="K24" s="2282"/>
      <c r="L24" s="2282"/>
      <c r="M24" s="2282"/>
      <c r="N24" s="2282"/>
      <c r="O24" s="2283"/>
      <c r="P24" s="2281" cm="1">
        <f t="array" ref="P24">SUMPRODUCT((Application!$B$726:$B$760 = 'CalHFA Addendum'!P$18)*(Application!$AC$726:$AC$760 = 'CalHFA Addendum'!$B24),Application!$G$726:$G$760)</f>
        <v>0</v>
      </c>
      <c r="Q24" s="2282"/>
      <c r="R24" s="2282"/>
      <c r="S24" s="2282"/>
      <c r="T24" s="2282"/>
      <c r="U24" s="2283"/>
      <c r="V24" s="2281" cm="1">
        <f t="array" ref="V24">SUMPRODUCT((Application!$B$726:$B$760 = 'CalHFA Addendum'!V$18)*(Application!$AC$726:$AC$760 = 'CalHFA Addendum'!$B24),Application!$G$726:$G$760)</f>
        <v>0</v>
      </c>
      <c r="W24" s="2282"/>
      <c r="X24" s="2282"/>
      <c r="Y24" s="2282"/>
      <c r="Z24" s="2282"/>
      <c r="AA24" s="2283"/>
      <c r="AB24" s="2281" cm="1">
        <f t="array" ref="AB24">SUMPRODUCT((Application!$B$726:$B$760 = 'CalHFA Addendum'!AB$18)*(Application!$AC$726:$AC$760 = 'CalHFA Addendum'!$B24),Application!$G$726:$G$760)</f>
        <v>0</v>
      </c>
      <c r="AC24" s="2282"/>
      <c r="AD24" s="2282"/>
      <c r="AE24" s="2282"/>
      <c r="AF24" s="2282"/>
      <c r="AG24" s="2283"/>
      <c r="AH24" s="2281" cm="1">
        <f t="array" ref="AH24">SUMPRODUCT((Application!$B$726:$B$760 = 'CalHFA Addendum'!AH$18)*(Application!$AC$726:$AC$760 = 'CalHFA Addendum'!$B24),Application!$G$726:$G$760)</f>
        <v>0</v>
      </c>
      <c r="AI24" s="2282"/>
      <c r="AJ24" s="2282"/>
      <c r="AK24" s="2282"/>
      <c r="AL24" s="2282"/>
      <c r="AM24" s="2283"/>
      <c r="AN24" s="2281" cm="1">
        <f t="array" ref="AN24">SUMPRODUCT((Application!$B$726:$B$760 = 'CalHFA Addendum'!AN$18)*(Application!$AC$726:$AC$760 = 'CalHFA Addendum'!$B24),Application!$G$726:$G$760)</f>
        <v>0</v>
      </c>
      <c r="AO24" s="2282"/>
      <c r="AP24" s="2282"/>
      <c r="AQ24" s="2282"/>
      <c r="AR24" s="2282"/>
      <c r="AS24" s="2283"/>
      <c r="AT24" s="2266">
        <f t="shared" si="1"/>
        <v>0</v>
      </c>
      <c r="AU24" s="2267"/>
      <c r="AV24" s="2267"/>
      <c r="AW24" s="2267"/>
      <c r="AX24" s="2267"/>
      <c r="AY24" s="2268"/>
      <c r="AZ24" s="1208"/>
      <c r="BA24" s="1208"/>
      <c r="BB24" s="1208"/>
      <c r="BC24" s="1208"/>
      <c r="BD24" s="1208"/>
      <c r="BE24" s="1215"/>
    </row>
    <row r="25" spans="1:58" ht="15">
      <c r="A25" s="1208"/>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208"/>
      <c r="BA25" s="1208"/>
      <c r="BB25" s="1208"/>
      <c r="BC25" s="1208"/>
      <c r="BD25" s="1208"/>
      <c r="BE25" s="1215"/>
    </row>
    <row r="26" spans="1:58" ht="15">
      <c r="A26" s="1208"/>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208"/>
      <c r="BA26" s="1208"/>
      <c r="BB26" s="1208"/>
      <c r="BC26" s="1208"/>
      <c r="BD26" s="1208"/>
      <c r="BE26" s="1215"/>
    </row>
    <row r="27" spans="1:58" ht="15">
      <c r="A27" s="1208"/>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208"/>
      <c r="BA27" s="1208"/>
      <c r="BB27" s="1208"/>
      <c r="BC27" s="1208"/>
      <c r="BD27" s="1208"/>
      <c r="BE27" s="1215"/>
    </row>
    <row r="28" spans="1:58" thickBot="1">
      <c r="A28" s="1208"/>
      <c r="B28" s="2269" t="s">
        <v>2361</v>
      </c>
      <c r="C28" s="2270"/>
      <c r="D28" s="2270"/>
      <c r="E28" s="2270"/>
      <c r="F28" s="2270"/>
      <c r="G28" s="2270"/>
      <c r="H28" s="2270"/>
      <c r="I28" s="2271"/>
      <c r="J28" s="2272">
        <f>SUM(P28:AS28)</f>
        <v>1</v>
      </c>
      <c r="K28" s="2273"/>
      <c r="L28" s="2273"/>
      <c r="M28" s="2273"/>
      <c r="N28" s="2273"/>
      <c r="O28" s="2274"/>
      <c r="P28" s="2272">
        <f>_xlfn.IFNA(VLOOKUP(P$18,Application!$J$781:$S$784,6,FALSE), 0)</f>
        <v>0</v>
      </c>
      <c r="Q28" s="2273"/>
      <c r="R28" s="2273"/>
      <c r="S28" s="2273"/>
      <c r="T28" s="2273"/>
      <c r="U28" s="2274"/>
      <c r="V28" s="2272">
        <f>_xlfn.IFNA(VLOOKUP(V$18,Application!$J$781:$S$784,6,FALSE), 0)</f>
        <v>0</v>
      </c>
      <c r="W28" s="2273"/>
      <c r="X28" s="2273"/>
      <c r="Y28" s="2273"/>
      <c r="Z28" s="2273"/>
      <c r="AA28" s="2274"/>
      <c r="AB28" s="2272">
        <f>_xlfn.IFNA(VLOOKUP(AB$18,Application!$J$781:$S$784,6,FALSE), 0)</f>
        <v>1</v>
      </c>
      <c r="AC28" s="2273"/>
      <c r="AD28" s="2273"/>
      <c r="AE28" s="2273"/>
      <c r="AF28" s="2273"/>
      <c r="AG28" s="2274"/>
      <c r="AH28" s="2272">
        <f>_xlfn.IFNA(VLOOKUP(AH$18,Application!$J$781:$S$784,6,FALSE), 0)</f>
        <v>0</v>
      </c>
      <c r="AI28" s="2273"/>
      <c r="AJ28" s="2273"/>
      <c r="AK28" s="2273"/>
      <c r="AL28" s="2273"/>
      <c r="AM28" s="2274"/>
      <c r="AN28" s="2272">
        <f>_xlfn.IFNA(VLOOKUP(AN$18,Application!$J$781:$S$784,6,FALSE), 0)</f>
        <v>0</v>
      </c>
      <c r="AO28" s="2273"/>
      <c r="AP28" s="2273"/>
      <c r="AQ28" s="2273"/>
      <c r="AR28" s="2273"/>
      <c r="AS28" s="2274"/>
      <c r="AT28" s="2275">
        <f t="shared" si="1"/>
        <v>6.4935064935064939E-3</v>
      </c>
      <c r="AU28" s="2276"/>
      <c r="AV28" s="2276"/>
      <c r="AW28" s="2276"/>
      <c r="AX28" s="2276"/>
      <c r="AY28" s="2277"/>
      <c r="AZ28" s="1208"/>
      <c r="BA28" s="1208"/>
      <c r="BB28" s="1208"/>
      <c r="BC28" s="1208"/>
      <c r="BD28" s="1208"/>
      <c r="BE28" s="1215"/>
    </row>
    <row r="29" spans="1:58" thickBot="1">
      <c r="A29" s="1208"/>
      <c r="B29" s="2252" t="s">
        <v>1573</v>
      </c>
      <c r="C29" s="2225"/>
      <c r="D29" s="2225"/>
      <c r="E29" s="2225"/>
      <c r="F29" s="2225"/>
      <c r="G29" s="2225"/>
      <c r="H29" s="2225"/>
      <c r="I29" s="2226"/>
      <c r="J29" s="2224">
        <f>SUM(J19:O28)</f>
        <v>154</v>
      </c>
      <c r="K29" s="2225"/>
      <c r="L29" s="2225"/>
      <c r="M29" s="2225"/>
      <c r="N29" s="2225"/>
      <c r="O29" s="2226"/>
      <c r="P29" s="2224">
        <f>SUM(P19:U28)</f>
        <v>0</v>
      </c>
      <c r="Q29" s="2225"/>
      <c r="R29" s="2225"/>
      <c r="S29" s="2225"/>
      <c r="T29" s="2225"/>
      <c r="U29" s="2226"/>
      <c r="V29" s="2224">
        <f>SUM(V19:AA28)</f>
        <v>61</v>
      </c>
      <c r="W29" s="2225"/>
      <c r="X29" s="2225"/>
      <c r="Y29" s="2225"/>
      <c r="Z29" s="2225"/>
      <c r="AA29" s="2226"/>
      <c r="AB29" s="2224">
        <f>SUM(AB19:AG28)</f>
        <v>49</v>
      </c>
      <c r="AC29" s="2225"/>
      <c r="AD29" s="2225"/>
      <c r="AE29" s="2225"/>
      <c r="AF29" s="2225"/>
      <c r="AG29" s="2226"/>
      <c r="AH29" s="2224">
        <f>SUM(AH19:AM28)</f>
        <v>44</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0" t="s">
        <v>2360</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215"/>
    </row>
    <row r="32" spans="1:58" thickBot="1">
      <c r="A32" s="1208"/>
      <c r="B32" s="2233" t="s">
        <v>2359</v>
      </c>
      <c r="C32" s="2234"/>
      <c r="D32" s="2234"/>
      <c r="E32" s="2234"/>
      <c r="F32" s="2234"/>
      <c r="G32" s="2234"/>
      <c r="H32" s="2234"/>
      <c r="I32" s="2234"/>
      <c r="J32" s="2237" t="s">
        <v>2358</v>
      </c>
      <c r="K32" s="2238"/>
      <c r="L32" s="2238"/>
      <c r="M32" s="2238"/>
      <c r="N32" s="2237" t="s">
        <v>2357</v>
      </c>
      <c r="O32" s="2238"/>
      <c r="P32" s="2238"/>
      <c r="Q32" s="2240"/>
      <c r="R32" s="2242" t="s">
        <v>2356</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215"/>
    </row>
    <row r="33" spans="1:58" ht="15" customHeight="1">
      <c r="A33" s="1208"/>
      <c r="B33" s="2235"/>
      <c r="C33" s="2236"/>
      <c r="D33" s="2236"/>
      <c r="E33" s="2236"/>
      <c r="F33" s="2236"/>
      <c r="G33" s="2236"/>
      <c r="H33" s="2236"/>
      <c r="I33" s="2236"/>
      <c r="J33" s="2239"/>
      <c r="K33" s="2239"/>
      <c r="L33" s="2239"/>
      <c r="M33" s="2239"/>
      <c r="N33" s="2239"/>
      <c r="O33" s="2239"/>
      <c r="P33" s="2239"/>
      <c r="Q33" s="2241"/>
      <c r="R33" s="2245" t="s">
        <v>2355</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215"/>
    </row>
    <row r="34" spans="1:58" ht="15.75" customHeight="1" thickBot="1">
      <c r="A34" s="1208"/>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215"/>
    </row>
    <row r="35" spans="1:58" ht="15.75" customHeight="1">
      <c r="A35" s="1208"/>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2354</v>
      </c>
      <c r="AT35" s="2254"/>
      <c r="AU35" s="2254"/>
      <c r="AV35" s="2254"/>
      <c r="AW35" s="2254"/>
      <c r="AX35" s="2262"/>
      <c r="AY35" s="2253" t="s">
        <v>2353</v>
      </c>
      <c r="AZ35" s="2254"/>
      <c r="BA35" s="2254"/>
      <c r="BB35" s="2254"/>
      <c r="BC35" s="2254"/>
      <c r="BD35" s="2255"/>
      <c r="BE35" s="1215"/>
    </row>
    <row r="36" spans="1:58" ht="15.75" customHeight="1">
      <c r="A36" s="1208"/>
      <c r="B36" s="2157" t="s">
        <v>2352</v>
      </c>
      <c r="C36" s="2158"/>
      <c r="D36" s="2158"/>
      <c r="E36" s="2158"/>
      <c r="F36" s="2158"/>
      <c r="G36" s="2158"/>
      <c r="H36" s="2158"/>
      <c r="I36" s="2158"/>
      <c r="J36" s="2222" t="s">
        <v>2351</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215"/>
    </row>
    <row r="37" spans="1:58" ht="15.75" customHeight="1">
      <c r="A37" s="1208"/>
      <c r="B37" s="2157" t="s">
        <v>2350</v>
      </c>
      <c r="C37" s="2158"/>
      <c r="D37" s="2158"/>
      <c r="E37" s="2158"/>
      <c r="F37" s="2158"/>
      <c r="G37" s="2158"/>
      <c r="H37" s="2158"/>
      <c r="I37" s="2158"/>
      <c r="J37" s="2222" t="s">
        <v>2349</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215"/>
    </row>
    <row r="38" spans="1:58" ht="15.75" customHeight="1">
      <c r="A38" s="1208"/>
      <c r="B38" s="2157" t="s">
        <v>2348</v>
      </c>
      <c r="C38" s="2158"/>
      <c r="D38" s="2158"/>
      <c r="E38" s="2158"/>
      <c r="F38" s="2158"/>
      <c r="G38" s="2158"/>
      <c r="H38" s="2158"/>
      <c r="I38" s="2158"/>
      <c r="J38" s="2222" t="s">
        <v>2347</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215"/>
    </row>
    <row r="39" spans="1:58" ht="15.75" customHeight="1">
      <c r="A39" s="1208"/>
      <c r="B39" s="2157" t="s">
        <v>2346</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215"/>
    </row>
    <row r="40" spans="1:58" ht="15.75" customHeight="1">
      <c r="A40" s="1208"/>
      <c r="B40" s="2157" t="s">
        <v>2346</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215"/>
    </row>
    <row r="41" spans="1:58" ht="15.75" customHeight="1">
      <c r="A41" s="1208"/>
      <c r="B41" s="2157" t="s">
        <v>2345</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215"/>
    </row>
    <row r="42" spans="1:58" ht="15.75" customHeight="1">
      <c r="A42" s="1208"/>
      <c r="B42" s="2157" t="s">
        <v>2345</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215"/>
    </row>
    <row r="43" spans="1:58" ht="15.75" customHeight="1">
      <c r="A43" s="1208"/>
      <c r="B43" s="2162" t="s">
        <v>2344</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215"/>
    </row>
    <row r="44" spans="1:58" ht="15.75" customHeight="1">
      <c r="A44" s="1208"/>
      <c r="B44" s="2162" t="s">
        <v>2343</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215"/>
    </row>
    <row r="45" spans="1:58" ht="15.75" customHeight="1">
      <c r="A45" s="1208"/>
      <c r="B45" s="2162" t="s">
        <v>2342</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215"/>
    </row>
    <row r="46" spans="1:58" ht="15.75" customHeight="1">
      <c r="A46" s="1208"/>
      <c r="B46" s="2162" t="s">
        <v>2274</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215"/>
    </row>
    <row r="47" spans="1:58" ht="15.75" customHeight="1" thickBot="1">
      <c r="A47" s="1208"/>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1" t="s">
        <v>2339</v>
      </c>
      <c r="C50" s="2037"/>
      <c r="D50" s="2037"/>
      <c r="E50" s="2037"/>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5" t="s">
        <v>2332</v>
      </c>
      <c r="C51" s="2109"/>
      <c r="D51" s="2109"/>
      <c r="E51" s="2109"/>
      <c r="F51" s="2109"/>
      <c r="G51" s="2109"/>
      <c r="H51" s="2109"/>
      <c r="I51" s="2109"/>
      <c r="J51" s="2109" t="s">
        <v>2338</v>
      </c>
      <c r="K51" s="2109"/>
      <c r="L51" s="2109"/>
      <c r="M51" s="2109"/>
      <c r="N51" s="2109"/>
      <c r="O51" s="2109"/>
      <c r="P51" s="2109"/>
      <c r="Q51" s="2109"/>
      <c r="R51" s="2201" t="s">
        <v>2337</v>
      </c>
      <c r="S51" s="2201"/>
      <c r="T51" s="2201"/>
      <c r="U51" s="2201"/>
      <c r="V51" s="2201"/>
      <c r="W51" s="2201"/>
      <c r="X51" s="2201"/>
      <c r="Y51" s="2201"/>
      <c r="Z51" s="2201" t="s">
        <v>2336</v>
      </c>
      <c r="AA51" s="2201"/>
      <c r="AB51" s="2201"/>
      <c r="AC51" s="2201"/>
      <c r="AD51" s="2201"/>
      <c r="AE51" s="2201"/>
      <c r="AF51" s="2201"/>
      <c r="AG51" s="2201"/>
      <c r="AH51" s="2201" t="s">
        <v>2335</v>
      </c>
      <c r="AI51" s="2201"/>
      <c r="AJ51" s="2201"/>
      <c r="AK51" s="2201"/>
      <c r="AL51" s="2201"/>
      <c r="AM51" s="2201"/>
      <c r="AN51" s="2201"/>
      <c r="AO51" s="220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2" t="s">
        <v>2334</v>
      </c>
      <c r="C52" s="2163"/>
      <c r="D52" s="2163"/>
      <c r="E52" s="2163"/>
      <c r="F52" s="2163"/>
      <c r="G52" s="2163"/>
      <c r="H52" s="2163"/>
      <c r="I52" s="2163"/>
      <c r="J52" s="1998">
        <v>0</v>
      </c>
      <c r="K52" s="1998"/>
      <c r="L52" s="1998"/>
      <c r="M52" s="1998"/>
      <c r="N52" s="1998"/>
      <c r="O52" s="1998"/>
      <c r="P52" s="1998"/>
      <c r="Q52" s="1998"/>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2" t="s">
        <v>2333</v>
      </c>
      <c r="C53" s="2163"/>
      <c r="D53" s="2163"/>
      <c r="E53" s="2163"/>
      <c r="F53" s="2163"/>
      <c r="G53" s="2163"/>
      <c r="H53" s="2163"/>
      <c r="I53" s="2163"/>
      <c r="J53" s="1998">
        <v>0</v>
      </c>
      <c r="K53" s="1998"/>
      <c r="L53" s="1998"/>
      <c r="M53" s="1998"/>
      <c r="N53" s="1998"/>
      <c r="O53" s="1998"/>
      <c r="P53" s="1998"/>
      <c r="Q53" s="1998"/>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2"/>
      <c r="C54" s="2163"/>
      <c r="D54" s="2163"/>
      <c r="E54" s="2163"/>
      <c r="F54" s="2163"/>
      <c r="G54" s="2163"/>
      <c r="H54" s="2163"/>
      <c r="I54" s="2163"/>
      <c r="J54" s="1998"/>
      <c r="K54" s="1998"/>
      <c r="L54" s="1998"/>
      <c r="M54" s="1998"/>
      <c r="N54" s="1998"/>
      <c r="O54" s="1998"/>
      <c r="P54" s="1998"/>
      <c r="Q54" s="1998"/>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2"/>
      <c r="C55" s="2163"/>
      <c r="D55" s="2163"/>
      <c r="E55" s="2163"/>
      <c r="F55" s="2163"/>
      <c r="G55" s="2163"/>
      <c r="H55" s="2163"/>
      <c r="I55" s="2163"/>
      <c r="J55" s="1998"/>
      <c r="K55" s="1998"/>
      <c r="L55" s="1998"/>
      <c r="M55" s="1998"/>
      <c r="N55" s="1998"/>
      <c r="O55" s="1998"/>
      <c r="P55" s="1998"/>
      <c r="Q55" s="1998"/>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2"/>
      <c r="C56" s="2163"/>
      <c r="D56" s="2163"/>
      <c r="E56" s="2163"/>
      <c r="F56" s="2163"/>
      <c r="G56" s="2163"/>
      <c r="H56" s="2163"/>
      <c r="I56" s="2163"/>
      <c r="J56" s="1998"/>
      <c r="K56" s="1998"/>
      <c r="L56" s="1998"/>
      <c r="M56" s="1998"/>
      <c r="N56" s="1998"/>
      <c r="O56" s="1998"/>
      <c r="P56" s="1998"/>
      <c r="Q56" s="1998"/>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3" t="s">
        <v>1573</v>
      </c>
      <c r="C57" s="2144"/>
      <c r="D57" s="2144"/>
      <c r="E57" s="2144"/>
      <c r="F57" s="2144"/>
      <c r="G57" s="2144"/>
      <c r="H57" s="2144"/>
      <c r="I57" s="2144"/>
      <c r="J57" s="2144"/>
      <c r="K57" s="2144"/>
      <c r="L57" s="2144"/>
      <c r="M57" s="2144"/>
      <c r="N57" s="2144"/>
      <c r="O57" s="2144"/>
      <c r="P57" s="2144"/>
      <c r="Q57" s="2144"/>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0" t="s">
        <v>2332</v>
      </c>
      <c r="C59" s="2191"/>
      <c r="D59" s="2191"/>
      <c r="E59" s="2191"/>
      <c r="F59" s="2191"/>
      <c r="G59" s="2191"/>
      <c r="H59" s="2191"/>
      <c r="I59" s="2192"/>
      <c r="J59" s="2113" t="s">
        <v>2331</v>
      </c>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4"/>
      <c r="AX59" s="1208"/>
      <c r="AY59" s="1208"/>
      <c r="AZ59" s="1208"/>
      <c r="BA59" s="1208"/>
      <c r="BB59" s="1208"/>
      <c r="BC59" s="1208"/>
      <c r="BD59" s="1208"/>
      <c r="BE59" s="1215"/>
    </row>
    <row r="60" spans="1:77" ht="15.75" customHeight="1">
      <c r="A60" s="1208"/>
      <c r="B60" s="2182" t="str">
        <f>IF(B52="", "", B52)</f>
        <v>Services Company 1</v>
      </c>
      <c r="C60" s="2183"/>
      <c r="D60" s="2183"/>
      <c r="E60" s="2183"/>
      <c r="F60" s="2183"/>
      <c r="G60" s="2183"/>
      <c r="H60" s="2183"/>
      <c r="I60" s="2184"/>
      <c r="J60" s="2185"/>
      <c r="K60" s="2001"/>
      <c r="L60" s="2001"/>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c r="AN60" s="2001"/>
      <c r="AO60" s="2001"/>
      <c r="AP60" s="2001"/>
      <c r="AQ60" s="2001"/>
      <c r="AR60" s="2001"/>
      <c r="AS60" s="2001"/>
      <c r="AT60" s="2001"/>
      <c r="AU60" s="2001"/>
      <c r="AV60" s="2001"/>
      <c r="AW60" s="2002"/>
      <c r="AX60" s="1208"/>
      <c r="AY60" s="1208"/>
      <c r="AZ60" s="1208"/>
      <c r="BA60" s="1208"/>
      <c r="BB60" s="1208"/>
      <c r="BC60" s="1208"/>
      <c r="BD60" s="1208"/>
      <c r="BE60" s="1215"/>
    </row>
    <row r="61" spans="1:77" ht="15.75" customHeight="1">
      <c r="A61" s="1208"/>
      <c r="B61" s="2182" t="str">
        <f>IF(B53="", "", B53)</f>
        <v>Services Company 2</v>
      </c>
      <c r="C61" s="2183"/>
      <c r="D61" s="2183"/>
      <c r="E61" s="2183"/>
      <c r="F61" s="2183"/>
      <c r="G61" s="2183"/>
      <c r="H61" s="2183"/>
      <c r="I61" s="2184"/>
      <c r="J61" s="2185"/>
      <c r="K61" s="2001"/>
      <c r="L61" s="2001"/>
      <c r="M61" s="2001"/>
      <c r="N61" s="2001"/>
      <c r="O61" s="2001"/>
      <c r="P61" s="2001"/>
      <c r="Q61" s="2001"/>
      <c r="R61" s="2001"/>
      <c r="S61" s="2001"/>
      <c r="T61" s="2001"/>
      <c r="U61" s="2001"/>
      <c r="V61" s="2001"/>
      <c r="W61" s="2001"/>
      <c r="X61" s="2001"/>
      <c r="Y61" s="2001"/>
      <c r="Z61" s="2001"/>
      <c r="AA61" s="2001"/>
      <c r="AB61" s="2001"/>
      <c r="AC61" s="2001"/>
      <c r="AD61" s="2001"/>
      <c r="AE61" s="2001"/>
      <c r="AF61" s="2001"/>
      <c r="AG61" s="2001"/>
      <c r="AH61" s="2001"/>
      <c r="AI61" s="2001"/>
      <c r="AJ61" s="2001"/>
      <c r="AK61" s="2001"/>
      <c r="AL61" s="2001"/>
      <c r="AM61" s="2001"/>
      <c r="AN61" s="2001"/>
      <c r="AO61" s="2001"/>
      <c r="AP61" s="2001"/>
      <c r="AQ61" s="2001"/>
      <c r="AR61" s="2001"/>
      <c r="AS61" s="2001"/>
      <c r="AT61" s="2001"/>
      <c r="AU61" s="2001"/>
      <c r="AV61" s="2001"/>
      <c r="AW61" s="2002"/>
      <c r="AX61" s="1208"/>
      <c r="AY61" s="1208"/>
      <c r="AZ61" s="1208"/>
      <c r="BA61" s="1208"/>
      <c r="BB61" s="1208"/>
      <c r="BC61" s="1208"/>
      <c r="BD61" s="1208"/>
      <c r="BE61" s="1215"/>
    </row>
    <row r="62" spans="1:77" ht="15.75" customHeight="1">
      <c r="A62" s="1208"/>
      <c r="B62" s="2182" t="str">
        <f>IF(B54="", "", B54)</f>
        <v/>
      </c>
      <c r="C62" s="2183"/>
      <c r="D62" s="2183"/>
      <c r="E62" s="2183"/>
      <c r="F62" s="2183"/>
      <c r="G62" s="2183"/>
      <c r="H62" s="2183"/>
      <c r="I62" s="2184"/>
      <c r="J62" s="2185"/>
      <c r="K62" s="2001"/>
      <c r="L62" s="2001"/>
      <c r="M62" s="2001"/>
      <c r="N62" s="2001"/>
      <c r="O62" s="2001"/>
      <c r="P62" s="2001"/>
      <c r="Q62" s="2001"/>
      <c r="R62" s="2001"/>
      <c r="S62" s="2001"/>
      <c r="T62" s="2001"/>
      <c r="U62" s="2001"/>
      <c r="V62" s="2001"/>
      <c r="W62" s="2001"/>
      <c r="X62" s="2001"/>
      <c r="Y62" s="2001"/>
      <c r="Z62" s="2001"/>
      <c r="AA62" s="2001"/>
      <c r="AB62" s="2001"/>
      <c r="AC62" s="2001"/>
      <c r="AD62" s="2001"/>
      <c r="AE62" s="2001"/>
      <c r="AF62" s="2001"/>
      <c r="AG62" s="2001"/>
      <c r="AH62" s="2001"/>
      <c r="AI62" s="2001"/>
      <c r="AJ62" s="2001"/>
      <c r="AK62" s="2001"/>
      <c r="AL62" s="2001"/>
      <c r="AM62" s="2001"/>
      <c r="AN62" s="2001"/>
      <c r="AO62" s="2001"/>
      <c r="AP62" s="2001"/>
      <c r="AQ62" s="2001"/>
      <c r="AR62" s="2001"/>
      <c r="AS62" s="2001"/>
      <c r="AT62" s="2001"/>
      <c r="AU62" s="2001"/>
      <c r="AV62" s="2001"/>
      <c r="AW62" s="2002"/>
      <c r="AX62" s="1208"/>
      <c r="AY62" s="1208"/>
      <c r="AZ62" s="1208"/>
      <c r="BA62" s="1208"/>
      <c r="BB62" s="1208"/>
      <c r="BC62" s="1208"/>
      <c r="BD62" s="1208"/>
      <c r="BE62" s="1215"/>
    </row>
    <row r="63" spans="1:77" ht="15.75" customHeight="1">
      <c r="A63" s="1208"/>
      <c r="B63" s="2182" t="str">
        <f>IF(B55="", "", B55)</f>
        <v/>
      </c>
      <c r="C63" s="2183"/>
      <c r="D63" s="2183"/>
      <c r="E63" s="2183"/>
      <c r="F63" s="2183"/>
      <c r="G63" s="2183"/>
      <c r="H63" s="2183"/>
      <c r="I63" s="2184"/>
      <c r="J63" s="2185"/>
      <c r="K63" s="2001"/>
      <c r="L63" s="2001"/>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1"/>
      <c r="AI63" s="2001"/>
      <c r="AJ63" s="2001"/>
      <c r="AK63" s="2001"/>
      <c r="AL63" s="2001"/>
      <c r="AM63" s="2001"/>
      <c r="AN63" s="2001"/>
      <c r="AO63" s="2001"/>
      <c r="AP63" s="2001"/>
      <c r="AQ63" s="2001"/>
      <c r="AR63" s="2001"/>
      <c r="AS63" s="2001"/>
      <c r="AT63" s="2001"/>
      <c r="AU63" s="2001"/>
      <c r="AV63" s="2001"/>
      <c r="AW63" s="2002"/>
      <c r="AX63" s="1208"/>
      <c r="AY63" s="1208"/>
      <c r="AZ63" s="1208"/>
      <c r="BA63" s="1208"/>
      <c r="BB63" s="1208"/>
      <c r="BC63" s="1208"/>
      <c r="BD63" s="1208"/>
      <c r="BE63" s="1215"/>
    </row>
    <row r="64" spans="1:77" ht="15.75" customHeight="1" thickBot="1">
      <c r="A64" s="1208"/>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2" t="s">
        <v>2329</v>
      </c>
      <c r="C68" s="2113"/>
      <c r="D68" s="2113"/>
      <c r="E68" s="2113"/>
      <c r="F68" s="2113"/>
      <c r="G68" s="2113"/>
      <c r="H68" s="2113"/>
      <c r="I68" s="2113"/>
      <c r="J68" s="2113"/>
      <c r="K68" s="2113"/>
      <c r="L68" s="2113"/>
      <c r="M68" s="2113"/>
      <c r="N68" s="2113"/>
      <c r="O68" s="2113"/>
      <c r="P68" s="2113"/>
      <c r="Q68" s="2113"/>
      <c r="R68" s="2113"/>
      <c r="S68" s="2113"/>
      <c r="T68" s="2113"/>
      <c r="U68" s="2113"/>
      <c r="V68" s="2113"/>
      <c r="W68" s="2113"/>
      <c r="X68" s="2113"/>
      <c r="Y68" s="2113"/>
      <c r="Z68" s="2113"/>
      <c r="AA68" s="2114"/>
      <c r="AB68" s="1208"/>
      <c r="AC68" s="2035" t="s">
        <v>2328</v>
      </c>
      <c r="AD68" s="2036"/>
      <c r="AE68" s="2036"/>
      <c r="AF68" s="2036"/>
      <c r="AG68" s="2036"/>
      <c r="AH68" s="2036"/>
      <c r="AI68" s="2036"/>
      <c r="AJ68" s="2036"/>
      <c r="AK68" s="2036"/>
      <c r="AL68" s="2036"/>
      <c r="AM68" s="2036"/>
      <c r="AN68" s="2036"/>
      <c r="AO68" s="2036"/>
      <c r="AP68" s="2036"/>
      <c r="AQ68" s="2036"/>
      <c r="AR68" s="2036"/>
      <c r="AS68" s="2036"/>
      <c r="AT68" s="2036"/>
      <c r="AU68" s="2036"/>
      <c r="AV68" s="2174" t="s">
        <v>668</v>
      </c>
      <c r="AW68" s="2092"/>
      <c r="AX68" s="2092"/>
      <c r="AY68" s="2092"/>
      <c r="AZ68" s="2092"/>
      <c r="BA68" s="2092"/>
      <c r="BB68" s="2092"/>
      <c r="BC68" s="2093"/>
      <c r="BD68" s="1208"/>
      <c r="BE68" s="1215"/>
      <c r="BM68" s="1221" t="s">
        <v>2327</v>
      </c>
    </row>
    <row r="69" spans="1:94" ht="15.75" customHeight="1" thickTop="1" thickBot="1">
      <c r="A69" s="1208"/>
      <c r="B69" s="2175" t="s">
        <v>2326</v>
      </c>
      <c r="C69" s="2176"/>
      <c r="D69" s="2176"/>
      <c r="E69" s="2176"/>
      <c r="F69" s="2176"/>
      <c r="G69" s="2176"/>
      <c r="H69" s="2176"/>
      <c r="I69" s="2176"/>
      <c r="J69" s="2176"/>
      <c r="K69" s="2176"/>
      <c r="L69" s="2176"/>
      <c r="M69" s="2176"/>
      <c r="N69" s="2176"/>
      <c r="O69" s="2177" t="s">
        <v>2325</v>
      </c>
      <c r="P69" s="2178"/>
      <c r="Q69" s="2178"/>
      <c r="R69" s="2178"/>
      <c r="S69" s="2178"/>
      <c r="T69" s="2178"/>
      <c r="U69" s="2178"/>
      <c r="V69" s="2178"/>
      <c r="W69" s="2178"/>
      <c r="X69" s="2178"/>
      <c r="Y69" s="2178"/>
      <c r="Z69" s="2178"/>
      <c r="AA69" s="2179"/>
      <c r="AB69" s="1208"/>
      <c r="AC69" s="2180" t="s">
        <v>2324</v>
      </c>
      <c r="AD69" s="2181"/>
      <c r="AE69" s="2181"/>
      <c r="AF69" s="2181"/>
      <c r="AG69" s="2181"/>
      <c r="AH69" s="2181"/>
      <c r="AI69" s="2181"/>
      <c r="AJ69" s="2181"/>
      <c r="AK69" s="2181"/>
      <c r="AL69" s="2181"/>
      <c r="AM69" s="2181"/>
      <c r="AN69" s="2181"/>
      <c r="AO69" s="2181"/>
      <c r="AP69" s="2181"/>
      <c r="AQ69" s="2181"/>
      <c r="AR69" s="2181"/>
      <c r="AS69" s="2181"/>
      <c r="AT69" s="2181"/>
      <c r="AU69" s="2181"/>
      <c r="AV69" s="2174" t="s">
        <v>668</v>
      </c>
      <c r="AW69" s="2092"/>
      <c r="AX69" s="2092"/>
      <c r="AY69" s="2092"/>
      <c r="AZ69" s="2092"/>
      <c r="BA69" s="2092"/>
      <c r="BB69" s="2092"/>
      <c r="BC69" s="2093"/>
      <c r="BD69" s="1208"/>
      <c r="BE69" s="1215"/>
      <c r="BM69" s="1222" t="s">
        <v>544</v>
      </c>
    </row>
    <row r="70" spans="1:94" ht="15.75" customHeight="1">
      <c r="A70" s="1208"/>
      <c r="B70" s="2157" t="s">
        <v>2323</v>
      </c>
      <c r="C70" s="2158"/>
      <c r="D70" s="2158"/>
      <c r="E70" s="2158"/>
      <c r="F70" s="2158"/>
      <c r="G70" s="2158"/>
      <c r="H70" s="2158"/>
      <c r="I70" s="2158"/>
      <c r="J70" s="2158"/>
      <c r="K70" s="2158"/>
      <c r="L70" s="2158"/>
      <c r="M70" s="2158"/>
      <c r="N70" s="2158"/>
      <c r="O70" s="2043">
        <v>0</v>
      </c>
      <c r="P70" s="2043"/>
      <c r="Q70" s="2043"/>
      <c r="R70" s="2043"/>
      <c r="S70" s="2043"/>
      <c r="T70" s="2043"/>
      <c r="U70" s="2043"/>
      <c r="V70" s="2043"/>
      <c r="W70" s="2043"/>
      <c r="X70" s="2043"/>
      <c r="Y70" s="2043"/>
      <c r="Z70" s="2043"/>
      <c r="AA70" s="2159"/>
      <c r="AB70" s="1208"/>
      <c r="AC70" s="2081" t="s">
        <v>2322</v>
      </c>
      <c r="AD70" s="2037"/>
      <c r="AE70" s="2037"/>
      <c r="AF70" s="2168"/>
      <c r="AG70" s="2168"/>
      <c r="AH70" s="2168"/>
      <c r="AI70" s="2168"/>
      <c r="AJ70" s="2168"/>
      <c r="AK70" s="2168"/>
      <c r="AL70" s="2168"/>
      <c r="AM70" s="2168"/>
      <c r="AN70" s="2168"/>
      <c r="AO70" s="2168"/>
      <c r="AP70" s="2168"/>
      <c r="AQ70" s="2168"/>
      <c r="AR70" s="2168"/>
      <c r="AS70" s="2168"/>
      <c r="AT70" s="2168"/>
      <c r="AU70" s="2169"/>
      <c r="AV70" s="1208"/>
      <c r="AW70" s="1208"/>
      <c r="AX70" s="1208"/>
      <c r="AY70" s="1208"/>
      <c r="AZ70" s="1208"/>
      <c r="BA70" s="1208"/>
      <c r="BB70" s="1208"/>
      <c r="BC70" s="1208"/>
      <c r="BD70" s="1208"/>
      <c r="BE70" s="1215"/>
      <c r="BM70" s="1223" t="s">
        <v>668</v>
      </c>
    </row>
    <row r="71" spans="1:94" ht="15.75" customHeight="1" thickBot="1">
      <c r="A71" s="1208"/>
      <c r="B71" s="2157" t="s">
        <v>2321</v>
      </c>
      <c r="C71" s="2158"/>
      <c r="D71" s="2158"/>
      <c r="E71" s="2158"/>
      <c r="F71" s="2158"/>
      <c r="G71" s="2158"/>
      <c r="H71" s="2158"/>
      <c r="I71" s="2158"/>
      <c r="J71" s="2158"/>
      <c r="K71" s="2158"/>
      <c r="L71" s="2158"/>
      <c r="M71" s="2158"/>
      <c r="N71" s="2158"/>
      <c r="O71" s="2043">
        <v>0</v>
      </c>
      <c r="P71" s="2043"/>
      <c r="Q71" s="2043"/>
      <c r="R71" s="2043"/>
      <c r="S71" s="2043"/>
      <c r="T71" s="2043"/>
      <c r="U71" s="2043"/>
      <c r="V71" s="2043"/>
      <c r="W71" s="2043"/>
      <c r="X71" s="2043"/>
      <c r="Y71" s="2043"/>
      <c r="Z71" s="2043"/>
      <c r="AA71" s="2159"/>
      <c r="AB71" s="1208"/>
      <c r="AC71" s="2170" t="s">
        <v>2320</v>
      </c>
      <c r="AD71" s="2171"/>
      <c r="AE71" s="2171"/>
      <c r="AF71" s="2172"/>
      <c r="AG71" s="2172"/>
      <c r="AH71" s="2172"/>
      <c r="AI71" s="2172"/>
      <c r="AJ71" s="2172"/>
      <c r="AK71" s="2172"/>
      <c r="AL71" s="2172"/>
      <c r="AM71" s="2172"/>
      <c r="AN71" s="2172"/>
      <c r="AO71" s="2172"/>
      <c r="AP71" s="2172"/>
      <c r="AQ71" s="2172"/>
      <c r="AR71" s="2172"/>
      <c r="AS71" s="2172"/>
      <c r="AT71" s="2172"/>
      <c r="AU71" s="2173"/>
      <c r="AV71" s="1208"/>
      <c r="AW71" s="1208"/>
      <c r="AX71" s="1208"/>
      <c r="AY71" s="1208"/>
      <c r="AZ71" s="1208"/>
      <c r="BA71" s="1208"/>
      <c r="BB71" s="1208"/>
      <c r="BC71" s="1208"/>
      <c r="BD71" s="1208"/>
      <c r="BE71" s="1215"/>
      <c r="BM71" s="1204" t="s">
        <v>2319</v>
      </c>
    </row>
    <row r="72" spans="1:94" ht="15.75" customHeight="1">
      <c r="A72" s="1208"/>
      <c r="B72" s="2157" t="s">
        <v>2318</v>
      </c>
      <c r="C72" s="2158"/>
      <c r="D72" s="2158"/>
      <c r="E72" s="2158"/>
      <c r="F72" s="2158"/>
      <c r="G72" s="2158"/>
      <c r="H72" s="2158"/>
      <c r="I72" s="2158"/>
      <c r="J72" s="2158"/>
      <c r="K72" s="2158"/>
      <c r="L72" s="2158"/>
      <c r="M72" s="2158"/>
      <c r="N72" s="2158"/>
      <c r="O72" s="2043">
        <v>0</v>
      </c>
      <c r="P72" s="2043"/>
      <c r="Q72" s="2043"/>
      <c r="R72" s="2043"/>
      <c r="S72" s="2043"/>
      <c r="T72" s="2043"/>
      <c r="U72" s="2043"/>
      <c r="V72" s="2043"/>
      <c r="W72" s="2043"/>
      <c r="X72" s="2043"/>
      <c r="Y72" s="2043"/>
      <c r="Z72" s="2043"/>
      <c r="AA72" s="2159"/>
      <c r="AB72" s="1208"/>
      <c r="AC72" s="2160" t="s">
        <v>2317</v>
      </c>
      <c r="AD72" s="2161"/>
      <c r="AE72" s="2161"/>
      <c r="AF72" s="2161"/>
      <c r="AG72" s="2161"/>
      <c r="AH72" s="2161"/>
      <c r="AI72" s="2161"/>
      <c r="AJ72" s="2161"/>
      <c r="AK72" s="2161"/>
      <c r="AL72" s="2161"/>
      <c r="AM72" s="2161"/>
      <c r="AN72" s="2161"/>
      <c r="AO72" s="2161"/>
      <c r="AP72" s="2161"/>
      <c r="AQ72" s="2161"/>
      <c r="AR72" s="2161"/>
      <c r="AS72" s="2161"/>
      <c r="AT72" s="2161"/>
      <c r="AU72" s="2161"/>
      <c r="AV72" s="2037"/>
      <c r="AW72" s="2037"/>
      <c r="AX72" s="2037"/>
      <c r="AY72" s="2037"/>
      <c r="AZ72" s="2037"/>
      <c r="BA72" s="2037"/>
      <c r="BB72" s="2037"/>
      <c r="BC72" s="2038"/>
      <c r="BD72" s="1208"/>
      <c r="BE72" s="1215"/>
    </row>
    <row r="73" spans="1:94" ht="15.75" customHeight="1">
      <c r="A73" s="1208"/>
      <c r="B73" s="2162" t="s">
        <v>2316</v>
      </c>
      <c r="C73" s="2163"/>
      <c r="D73" s="2163"/>
      <c r="E73" s="2163"/>
      <c r="F73" s="2163"/>
      <c r="G73" s="2163"/>
      <c r="H73" s="2163"/>
      <c r="I73" s="2163"/>
      <c r="J73" s="2163"/>
      <c r="K73" s="2163"/>
      <c r="L73" s="2163"/>
      <c r="M73" s="2163"/>
      <c r="N73" s="2163"/>
      <c r="O73" s="2043">
        <v>0</v>
      </c>
      <c r="P73" s="2043"/>
      <c r="Q73" s="2043"/>
      <c r="R73" s="2043"/>
      <c r="S73" s="2043"/>
      <c r="T73" s="2043"/>
      <c r="U73" s="2043"/>
      <c r="V73" s="2043"/>
      <c r="W73" s="2043"/>
      <c r="X73" s="2043"/>
      <c r="Y73" s="2043"/>
      <c r="Z73" s="2043"/>
      <c r="AA73" s="2159"/>
      <c r="AB73" s="1208"/>
      <c r="AC73" s="2052" t="s">
        <v>2269</v>
      </c>
      <c r="AD73" s="2053"/>
      <c r="AE73" s="2053"/>
      <c r="AF73" s="2053"/>
      <c r="AG73" s="2053"/>
      <c r="AH73" s="2053"/>
      <c r="AI73" s="2053"/>
      <c r="AJ73" s="2053"/>
      <c r="AK73" s="2053"/>
      <c r="AL73" s="2053"/>
      <c r="AM73" s="2053"/>
      <c r="AN73" s="2053"/>
      <c r="AO73" s="2053"/>
      <c r="AP73" s="2053"/>
      <c r="AQ73" s="2053"/>
      <c r="AR73" s="2053"/>
      <c r="AS73" s="2053"/>
      <c r="AT73" s="2053"/>
      <c r="AU73" s="2053"/>
      <c r="AV73" s="2053"/>
      <c r="AW73" s="2053"/>
      <c r="AX73" s="2053"/>
      <c r="AY73" s="2053"/>
      <c r="AZ73" s="2053"/>
      <c r="BA73" s="2053"/>
      <c r="BB73" s="2053"/>
      <c r="BC73" s="2054"/>
      <c r="BD73" s="1208"/>
      <c r="BE73" s="1215"/>
      <c r="CK73" s="1206"/>
      <c r="CL73" s="1206"/>
      <c r="CM73" s="1206"/>
      <c r="CN73" s="1206"/>
      <c r="CO73" s="1206"/>
      <c r="CP73" s="1206"/>
    </row>
    <row r="74" spans="1:94" ht="15.75" customHeight="1">
      <c r="A74" s="1208"/>
      <c r="B74" s="1997"/>
      <c r="C74" s="1998"/>
      <c r="D74" s="1998"/>
      <c r="E74" s="1998"/>
      <c r="F74" s="1998"/>
      <c r="G74" s="1998"/>
      <c r="H74" s="1998"/>
      <c r="I74" s="1998"/>
      <c r="J74" s="1998"/>
      <c r="K74" s="1998"/>
      <c r="L74" s="1998"/>
      <c r="M74" s="1998"/>
      <c r="N74" s="1998"/>
      <c r="O74" s="2043"/>
      <c r="P74" s="2043"/>
      <c r="Q74" s="2043"/>
      <c r="R74" s="2043"/>
      <c r="S74" s="2043"/>
      <c r="T74" s="2043"/>
      <c r="U74" s="2043"/>
      <c r="V74" s="2043"/>
      <c r="W74" s="2043"/>
      <c r="X74" s="2043"/>
      <c r="Y74" s="2043"/>
      <c r="Z74" s="2043"/>
      <c r="AA74" s="2159"/>
      <c r="AB74" s="1208"/>
      <c r="AC74" s="2052"/>
      <c r="AD74" s="2053"/>
      <c r="AE74" s="2053"/>
      <c r="AF74" s="2053"/>
      <c r="AG74" s="2053"/>
      <c r="AH74" s="2053"/>
      <c r="AI74" s="2053"/>
      <c r="AJ74" s="2053"/>
      <c r="AK74" s="2053"/>
      <c r="AL74" s="2053"/>
      <c r="AM74" s="2053"/>
      <c r="AN74" s="2053"/>
      <c r="AO74" s="2053"/>
      <c r="AP74" s="2053"/>
      <c r="AQ74" s="2053"/>
      <c r="AR74" s="2053"/>
      <c r="AS74" s="2053"/>
      <c r="AT74" s="2053"/>
      <c r="AU74" s="2053"/>
      <c r="AV74" s="2053"/>
      <c r="AW74" s="2053"/>
      <c r="AX74" s="2053"/>
      <c r="AY74" s="2053"/>
      <c r="AZ74" s="2053"/>
      <c r="BA74" s="2053"/>
      <c r="BB74" s="2053"/>
      <c r="BC74" s="2054"/>
      <c r="BD74" s="1208"/>
      <c r="BE74" s="1215"/>
      <c r="CK74" s="1206"/>
      <c r="CL74" s="1206"/>
      <c r="CM74" s="1206"/>
      <c r="CN74" s="1206"/>
      <c r="CO74" s="1206"/>
      <c r="CP74" s="1206"/>
    </row>
    <row r="75" spans="1:94" ht="15.75" customHeight="1" thickBot="1">
      <c r="A75" s="1208"/>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208"/>
      <c r="AC75" s="2052"/>
      <c r="AD75" s="2053"/>
      <c r="AE75" s="2053"/>
      <c r="AF75" s="2053"/>
      <c r="AG75" s="2053"/>
      <c r="AH75" s="2053"/>
      <c r="AI75" s="2053"/>
      <c r="AJ75" s="2053"/>
      <c r="AK75" s="2053"/>
      <c r="AL75" s="2053"/>
      <c r="AM75" s="2053"/>
      <c r="AN75" s="2053"/>
      <c r="AO75" s="2053"/>
      <c r="AP75" s="2053"/>
      <c r="AQ75" s="2053"/>
      <c r="AR75" s="2053"/>
      <c r="AS75" s="2053"/>
      <c r="AT75" s="2053"/>
      <c r="AU75" s="2053"/>
      <c r="AV75" s="2053"/>
      <c r="AW75" s="2053"/>
      <c r="AX75" s="2053"/>
      <c r="AY75" s="2053"/>
      <c r="AZ75" s="2053"/>
      <c r="BA75" s="2053"/>
      <c r="BB75" s="2053"/>
      <c r="BC75" s="205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2"/>
      <c r="AD76" s="2053"/>
      <c r="AE76" s="2053"/>
      <c r="AF76" s="2053"/>
      <c r="AG76" s="2053"/>
      <c r="AH76" s="2053"/>
      <c r="AI76" s="2053"/>
      <c r="AJ76" s="2053"/>
      <c r="AK76" s="2053"/>
      <c r="AL76" s="2053"/>
      <c r="AM76" s="2053"/>
      <c r="AN76" s="2053"/>
      <c r="AO76" s="2053"/>
      <c r="AP76" s="2053"/>
      <c r="AQ76" s="2053"/>
      <c r="AR76" s="2053"/>
      <c r="AS76" s="2053"/>
      <c r="AT76" s="2053"/>
      <c r="AU76" s="2053"/>
      <c r="AV76" s="2053"/>
      <c r="AW76" s="2053"/>
      <c r="AX76" s="2053"/>
      <c r="AY76" s="2053"/>
      <c r="AZ76" s="2053"/>
      <c r="BA76" s="2053"/>
      <c r="BB76" s="2053"/>
      <c r="BC76" s="205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5"/>
      <c r="AD77" s="2056"/>
      <c r="AE77" s="2056"/>
      <c r="AF77" s="2056"/>
      <c r="AG77" s="2056"/>
      <c r="AH77" s="2056"/>
      <c r="AI77" s="2056"/>
      <c r="AJ77" s="2056"/>
      <c r="AK77" s="2056"/>
      <c r="AL77" s="2056"/>
      <c r="AM77" s="2056"/>
      <c r="AN77" s="2056"/>
      <c r="AO77" s="2056"/>
      <c r="AP77" s="2056"/>
      <c r="AQ77" s="2056"/>
      <c r="AR77" s="2056"/>
      <c r="AS77" s="2056"/>
      <c r="AT77" s="2056"/>
      <c r="AU77" s="2056"/>
      <c r="AV77" s="2056"/>
      <c r="AW77" s="2056"/>
      <c r="AX77" s="2056"/>
      <c r="AY77" s="2056"/>
      <c r="AZ77" s="2056"/>
      <c r="BA77" s="2056"/>
      <c r="BB77" s="2056"/>
      <c r="BC77" s="2057"/>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47"/>
      <c r="G79" s="2148"/>
      <c r="H79" s="2148"/>
      <c r="I79" s="2148"/>
      <c r="J79" s="2148"/>
      <c r="K79" s="2148"/>
      <c r="L79" s="2148"/>
      <c r="M79" s="2148"/>
      <c r="N79" s="2148"/>
      <c r="O79" s="2148"/>
      <c r="P79" s="2148"/>
      <c r="Q79" s="2148"/>
      <c r="R79" s="2148"/>
      <c r="S79" s="2148"/>
      <c r="T79" s="214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0" t="s">
        <v>2314</v>
      </c>
      <c r="C81" s="2151"/>
      <c r="D81" s="2151"/>
      <c r="E81" s="2151"/>
      <c r="F81" s="2151"/>
      <c r="G81" s="2151"/>
      <c r="H81" s="2151"/>
      <c r="I81" s="2151"/>
      <c r="J81" s="2151"/>
      <c r="K81" s="2151"/>
      <c r="L81" s="2151"/>
      <c r="M81" s="2151"/>
      <c r="N81" s="2151"/>
      <c r="O81" s="2151"/>
      <c r="P81" s="2151"/>
      <c r="Q81" s="2151"/>
      <c r="R81" s="2151"/>
      <c r="S81" s="2151"/>
      <c r="T81" s="2151"/>
      <c r="U81" s="2151"/>
      <c r="V81" s="2151"/>
      <c r="W81" s="2151"/>
      <c r="X81" s="2151"/>
      <c r="Y81" s="2151"/>
      <c r="Z81" s="2151"/>
      <c r="AA81" s="2151"/>
      <c r="AB81" s="2151"/>
      <c r="AC81" s="2151"/>
      <c r="AD81" s="2151"/>
      <c r="AE81" s="2151"/>
      <c r="AF81" s="2151"/>
      <c r="AG81" s="2151"/>
      <c r="AH81" s="2152"/>
      <c r="AI81" s="1208"/>
      <c r="AJ81" s="2134" t="s">
        <v>2616</v>
      </c>
      <c r="AK81" s="2135"/>
      <c r="AL81" s="2135"/>
      <c r="AM81" s="2135"/>
      <c r="AN81" s="2135"/>
      <c r="AO81" s="2135"/>
      <c r="AP81" s="2135"/>
      <c r="AQ81" s="2135"/>
      <c r="AR81" s="2135"/>
      <c r="AS81" s="2135"/>
      <c r="AT81" s="2135"/>
      <c r="AU81" s="2135"/>
      <c r="AV81" s="2135"/>
      <c r="AW81" s="2135"/>
      <c r="AX81" s="2135"/>
      <c r="AY81" s="2153" t="s">
        <v>544</v>
      </c>
      <c r="AZ81" s="2153"/>
      <c r="BA81" s="2153"/>
      <c r="BB81" s="2154"/>
      <c r="BC81" s="1208"/>
      <c r="BD81" s="1208"/>
      <c r="BE81" s="1215"/>
      <c r="CK81" s="1206"/>
      <c r="CL81" s="1206"/>
      <c r="CM81" s="1206"/>
      <c r="CN81" s="1206"/>
      <c r="CO81" s="1206"/>
      <c r="CP81" s="1206"/>
    </row>
    <row r="82" spans="1:94" ht="15.75" customHeight="1">
      <c r="A82" s="1208"/>
      <c r="B82" s="2115"/>
      <c r="C82" s="2109"/>
      <c r="D82" s="2109"/>
      <c r="E82" s="2109"/>
      <c r="F82" s="2109"/>
      <c r="G82" s="2109"/>
      <c r="H82" s="2109"/>
      <c r="I82" s="2109" t="s">
        <v>2308</v>
      </c>
      <c r="J82" s="2109"/>
      <c r="K82" s="2109"/>
      <c r="L82" s="2109"/>
      <c r="M82" s="2109"/>
      <c r="N82" s="2109"/>
      <c r="O82" s="2109" t="s">
        <v>2285</v>
      </c>
      <c r="P82" s="2109"/>
      <c r="Q82" s="2109"/>
      <c r="R82" s="2109"/>
      <c r="S82" s="2109"/>
      <c r="T82" s="2109"/>
      <c r="U82" s="2109"/>
      <c r="V82" s="2145" t="s">
        <v>2284</v>
      </c>
      <c r="W82" s="2145"/>
      <c r="X82" s="2145"/>
      <c r="Y82" s="2145"/>
      <c r="Z82" s="2145"/>
      <c r="AA82" s="2145"/>
      <c r="AB82" s="2082" t="s">
        <v>2307</v>
      </c>
      <c r="AC82" s="2082"/>
      <c r="AD82" s="2082"/>
      <c r="AE82" s="2082"/>
      <c r="AF82" s="2082"/>
      <c r="AG82" s="2082"/>
      <c r="AH82" s="2146"/>
      <c r="AI82" s="1208"/>
      <c r="AJ82" s="2137"/>
      <c r="AK82" s="2138"/>
      <c r="AL82" s="2138"/>
      <c r="AM82" s="2138"/>
      <c r="AN82" s="2138"/>
      <c r="AO82" s="2138"/>
      <c r="AP82" s="2138"/>
      <c r="AQ82" s="2138"/>
      <c r="AR82" s="2138"/>
      <c r="AS82" s="2138"/>
      <c r="AT82" s="2138"/>
      <c r="AU82" s="2138"/>
      <c r="AV82" s="2138"/>
      <c r="AW82" s="2138"/>
      <c r="AX82" s="2138"/>
      <c r="AY82" s="2155"/>
      <c r="AZ82" s="2155"/>
      <c r="BA82" s="2155"/>
      <c r="BB82" s="2156"/>
      <c r="BC82" s="1208"/>
      <c r="BD82" s="1208"/>
      <c r="BE82" s="1215"/>
      <c r="CK82" s="1206"/>
      <c r="CL82" s="1206"/>
      <c r="CM82" s="1206"/>
      <c r="CN82" s="1206"/>
      <c r="CO82" s="1206"/>
      <c r="CP82" s="1206"/>
    </row>
    <row r="83" spans="1:94" ht="15.75" customHeight="1">
      <c r="A83" s="1208"/>
      <c r="B83" s="2115"/>
      <c r="C83" s="2109"/>
      <c r="D83" s="2109"/>
      <c r="E83" s="2109"/>
      <c r="F83" s="2109"/>
      <c r="G83" s="2109"/>
      <c r="H83" s="2109"/>
      <c r="I83" s="2109"/>
      <c r="J83" s="2109"/>
      <c r="K83" s="2109"/>
      <c r="L83" s="2109"/>
      <c r="M83" s="2109"/>
      <c r="N83" s="2109"/>
      <c r="O83" s="2109"/>
      <c r="P83" s="2109"/>
      <c r="Q83" s="2109"/>
      <c r="R83" s="2109"/>
      <c r="S83" s="2109"/>
      <c r="T83" s="2109"/>
      <c r="U83" s="2109"/>
      <c r="V83" s="2145"/>
      <c r="W83" s="2145"/>
      <c r="X83" s="2145"/>
      <c r="Y83" s="2145"/>
      <c r="Z83" s="2145"/>
      <c r="AA83" s="2145"/>
      <c r="AB83" s="2082"/>
      <c r="AC83" s="2082"/>
      <c r="AD83" s="2082"/>
      <c r="AE83" s="2082"/>
      <c r="AF83" s="2082"/>
      <c r="AG83" s="2082"/>
      <c r="AH83" s="2146"/>
      <c r="AI83" s="1208"/>
      <c r="AJ83" s="2137"/>
      <c r="AK83" s="2138"/>
      <c r="AL83" s="2138"/>
      <c r="AM83" s="2138"/>
      <c r="AN83" s="2138"/>
      <c r="AO83" s="2138"/>
      <c r="AP83" s="2138"/>
      <c r="AQ83" s="2138"/>
      <c r="AR83" s="2138"/>
      <c r="AS83" s="2138"/>
      <c r="AT83" s="2138"/>
      <c r="AU83" s="2138"/>
      <c r="AV83" s="2138"/>
      <c r="AW83" s="2138"/>
      <c r="AX83" s="2138"/>
      <c r="AY83" s="2155"/>
      <c r="AZ83" s="2155"/>
      <c r="BA83" s="2155"/>
      <c r="BB83" s="2156"/>
      <c r="BC83" s="1208"/>
      <c r="BD83" s="1208"/>
      <c r="BE83" s="1215"/>
      <c r="CK83" s="1206"/>
      <c r="CL83" s="1206"/>
      <c r="CM83" s="1206"/>
      <c r="CN83" s="1206"/>
      <c r="CO83" s="1206"/>
      <c r="CP83" s="1206"/>
    </row>
    <row r="84" spans="1:94" ht="15.75" customHeight="1">
      <c r="A84" s="1208"/>
      <c r="B84" s="2115" t="s">
        <v>2306</v>
      </c>
      <c r="C84" s="2109"/>
      <c r="D84" s="2109"/>
      <c r="E84" s="2109"/>
      <c r="F84" s="2109"/>
      <c r="G84" s="2109"/>
      <c r="H84" s="2109"/>
      <c r="I84" s="2085">
        <v>0</v>
      </c>
      <c r="J84" s="2085"/>
      <c r="K84" s="2085"/>
      <c r="L84" s="2085"/>
      <c r="M84" s="2085"/>
      <c r="N84" s="2085"/>
      <c r="O84" s="2085">
        <v>0</v>
      </c>
      <c r="P84" s="2085"/>
      <c r="Q84" s="2085"/>
      <c r="R84" s="2085"/>
      <c r="S84" s="2085"/>
      <c r="T84" s="2085"/>
      <c r="U84" s="2085"/>
      <c r="V84" s="2085">
        <v>0</v>
      </c>
      <c r="W84" s="2085"/>
      <c r="X84" s="2085"/>
      <c r="Y84" s="2085"/>
      <c r="Z84" s="2085"/>
      <c r="AA84" s="2085"/>
      <c r="AB84" s="2085">
        <v>0</v>
      </c>
      <c r="AC84" s="2085"/>
      <c r="AD84" s="2085"/>
      <c r="AE84" s="2085"/>
      <c r="AF84" s="2085"/>
      <c r="AG84" s="2085"/>
      <c r="AH84" s="2086"/>
      <c r="AI84" s="1208"/>
      <c r="AJ84" s="2137"/>
      <c r="AK84" s="2138"/>
      <c r="AL84" s="2138"/>
      <c r="AM84" s="2138"/>
      <c r="AN84" s="2138"/>
      <c r="AO84" s="2138"/>
      <c r="AP84" s="2138"/>
      <c r="AQ84" s="2138"/>
      <c r="AR84" s="2138"/>
      <c r="AS84" s="2138"/>
      <c r="AT84" s="2138"/>
      <c r="AU84" s="2138"/>
      <c r="AV84" s="2138"/>
      <c r="AW84" s="2138"/>
      <c r="AX84" s="2138"/>
      <c r="AY84" s="2155"/>
      <c r="AZ84" s="2155"/>
      <c r="BA84" s="2155"/>
      <c r="BB84" s="2156"/>
      <c r="BC84" s="1208"/>
      <c r="BD84" s="1208"/>
      <c r="BE84" s="1215"/>
      <c r="CK84" s="1206"/>
      <c r="CL84" s="1206"/>
      <c r="CM84" s="1206"/>
      <c r="CN84" s="1206"/>
      <c r="CO84" s="1206"/>
      <c r="CP84" s="1206"/>
    </row>
    <row r="85" spans="1:94" ht="15.75" customHeight="1">
      <c r="A85" s="1208"/>
      <c r="B85" s="2115" t="s">
        <v>2305</v>
      </c>
      <c r="C85" s="2109"/>
      <c r="D85" s="2109"/>
      <c r="E85" s="2109"/>
      <c r="F85" s="2109"/>
      <c r="G85" s="2109"/>
      <c r="H85" s="2109"/>
      <c r="I85" s="2085">
        <v>0</v>
      </c>
      <c r="J85" s="2085"/>
      <c r="K85" s="2085"/>
      <c r="L85" s="2085"/>
      <c r="M85" s="2085"/>
      <c r="N85" s="2085"/>
      <c r="O85" s="2085">
        <v>0</v>
      </c>
      <c r="P85" s="2085"/>
      <c r="Q85" s="2085"/>
      <c r="R85" s="2085"/>
      <c r="S85" s="2085"/>
      <c r="T85" s="2085"/>
      <c r="U85" s="2085"/>
      <c r="V85" s="2085">
        <v>0</v>
      </c>
      <c r="W85" s="2085"/>
      <c r="X85" s="2085"/>
      <c r="Y85" s="2085"/>
      <c r="Z85" s="2085"/>
      <c r="AA85" s="2085"/>
      <c r="AB85" s="2085">
        <v>0</v>
      </c>
      <c r="AC85" s="2085"/>
      <c r="AD85" s="2085"/>
      <c r="AE85" s="2085"/>
      <c r="AF85" s="2085"/>
      <c r="AG85" s="2085"/>
      <c r="AH85" s="2086"/>
      <c r="AI85" s="1208"/>
      <c r="AJ85" s="2052" t="s">
        <v>2311</v>
      </c>
      <c r="AK85" s="2053"/>
      <c r="AL85" s="2053"/>
      <c r="AM85" s="2053"/>
      <c r="AN85" s="2053"/>
      <c r="AO85" s="2053"/>
      <c r="AP85" s="2053"/>
      <c r="AQ85" s="2053"/>
      <c r="AR85" s="2053"/>
      <c r="AS85" s="2053"/>
      <c r="AT85" s="2053"/>
      <c r="AU85" s="2053"/>
      <c r="AV85" s="2053"/>
      <c r="AW85" s="2053"/>
      <c r="AX85" s="2053"/>
      <c r="AY85" s="2053"/>
      <c r="AZ85" s="2053"/>
      <c r="BA85" s="2053"/>
      <c r="BB85" s="2054"/>
      <c r="BC85" s="1208"/>
      <c r="BD85" s="1208"/>
      <c r="BE85" s="1215"/>
      <c r="CK85" s="1206"/>
      <c r="CL85" s="1206"/>
      <c r="CM85" s="1206"/>
      <c r="CN85" s="1206"/>
      <c r="CO85" s="1206"/>
      <c r="CP85" s="1206"/>
    </row>
    <row r="86" spans="1:94" ht="15.75" customHeight="1" thickBot="1">
      <c r="A86" s="1208"/>
      <c r="B86" s="2143" t="s">
        <v>2304</v>
      </c>
      <c r="C86" s="2144"/>
      <c r="D86" s="2144"/>
      <c r="E86" s="2144"/>
      <c r="F86" s="2144"/>
      <c r="G86" s="2144"/>
      <c r="H86" s="2144"/>
      <c r="I86" s="2079">
        <v>0</v>
      </c>
      <c r="J86" s="2079"/>
      <c r="K86" s="2079"/>
      <c r="L86" s="2079"/>
      <c r="M86" s="2079"/>
      <c r="N86" s="2079"/>
      <c r="O86" s="2079">
        <v>0</v>
      </c>
      <c r="P86" s="2079"/>
      <c r="Q86" s="2079"/>
      <c r="R86" s="2079"/>
      <c r="S86" s="2079"/>
      <c r="T86" s="2079"/>
      <c r="U86" s="2079"/>
      <c r="V86" s="2079">
        <v>0</v>
      </c>
      <c r="W86" s="2079"/>
      <c r="X86" s="2079"/>
      <c r="Y86" s="2079"/>
      <c r="Z86" s="2079"/>
      <c r="AA86" s="2079"/>
      <c r="AB86" s="2079">
        <v>0</v>
      </c>
      <c r="AC86" s="2079"/>
      <c r="AD86" s="2079"/>
      <c r="AE86" s="2079"/>
      <c r="AF86" s="2079"/>
      <c r="AG86" s="2079"/>
      <c r="AH86" s="2080"/>
      <c r="AI86" s="1208"/>
      <c r="AJ86" s="2055"/>
      <c r="AK86" s="2056"/>
      <c r="AL86" s="2056"/>
      <c r="AM86" s="2056"/>
      <c r="AN86" s="2056"/>
      <c r="AO86" s="2056"/>
      <c r="AP86" s="2056"/>
      <c r="AQ86" s="2056"/>
      <c r="AR86" s="2056"/>
      <c r="AS86" s="2056"/>
      <c r="AT86" s="2056"/>
      <c r="AU86" s="2056"/>
      <c r="AV86" s="2056"/>
      <c r="AW86" s="2056"/>
      <c r="AX86" s="2056"/>
      <c r="AY86" s="2056"/>
      <c r="AZ86" s="2056"/>
      <c r="BA86" s="2056"/>
      <c r="BB86" s="205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47"/>
      <c r="G90" s="2148"/>
      <c r="H90" s="2148"/>
      <c r="I90" s="2148"/>
      <c r="J90" s="2148"/>
      <c r="K90" s="2148"/>
      <c r="L90" s="2148"/>
      <c r="M90" s="2148"/>
      <c r="N90" s="2148"/>
      <c r="O90" s="2148"/>
      <c r="P90" s="2148"/>
      <c r="Q90" s="2148"/>
      <c r="R90" s="2148"/>
      <c r="S90" s="2148"/>
      <c r="T90" s="214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0" t="s">
        <v>2312</v>
      </c>
      <c r="C92" s="2151"/>
      <c r="D92" s="2151"/>
      <c r="E92" s="2151"/>
      <c r="F92" s="2151"/>
      <c r="G92" s="2151"/>
      <c r="H92" s="2151"/>
      <c r="I92" s="2151"/>
      <c r="J92" s="2151"/>
      <c r="K92" s="2151"/>
      <c r="L92" s="2151"/>
      <c r="M92" s="2151"/>
      <c r="N92" s="2151"/>
      <c r="O92" s="2151"/>
      <c r="P92" s="2151"/>
      <c r="Q92" s="2151"/>
      <c r="R92" s="2151"/>
      <c r="S92" s="2151"/>
      <c r="T92" s="2151"/>
      <c r="U92" s="2151"/>
      <c r="V92" s="2151"/>
      <c r="W92" s="2151"/>
      <c r="X92" s="2151"/>
      <c r="Y92" s="2151"/>
      <c r="Z92" s="2151"/>
      <c r="AA92" s="2151"/>
      <c r="AB92" s="2151"/>
      <c r="AC92" s="2151"/>
      <c r="AD92" s="2151"/>
      <c r="AE92" s="2151"/>
      <c r="AF92" s="2151"/>
      <c r="AG92" s="2151"/>
      <c r="AH92" s="2152"/>
      <c r="AI92" s="1208"/>
      <c r="AJ92" s="2134" t="s">
        <v>2617</v>
      </c>
      <c r="AK92" s="2135"/>
      <c r="AL92" s="2135"/>
      <c r="AM92" s="2135"/>
      <c r="AN92" s="2135"/>
      <c r="AO92" s="2135"/>
      <c r="AP92" s="2135"/>
      <c r="AQ92" s="2135"/>
      <c r="AR92" s="2135"/>
      <c r="AS92" s="2135"/>
      <c r="AT92" s="2135"/>
      <c r="AU92" s="2135"/>
      <c r="AV92" s="2135"/>
      <c r="AW92" s="2135"/>
      <c r="AX92" s="2135"/>
      <c r="AY92" s="2153" t="s">
        <v>544</v>
      </c>
      <c r="AZ92" s="2153"/>
      <c r="BA92" s="2153"/>
      <c r="BB92" s="215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5"/>
      <c r="C93" s="2109"/>
      <c r="D93" s="2109"/>
      <c r="E93" s="2109"/>
      <c r="F93" s="2109"/>
      <c r="G93" s="2109"/>
      <c r="H93" s="2109"/>
      <c r="I93" s="2109" t="s">
        <v>2308</v>
      </c>
      <c r="J93" s="2109"/>
      <c r="K93" s="2109"/>
      <c r="L93" s="2109"/>
      <c r="M93" s="2109"/>
      <c r="N93" s="2109"/>
      <c r="O93" s="2109" t="s">
        <v>2285</v>
      </c>
      <c r="P93" s="2109"/>
      <c r="Q93" s="2109"/>
      <c r="R93" s="2109"/>
      <c r="S93" s="2109"/>
      <c r="T93" s="2109"/>
      <c r="U93" s="2109"/>
      <c r="V93" s="2145" t="s">
        <v>2284</v>
      </c>
      <c r="W93" s="2145"/>
      <c r="X93" s="2145"/>
      <c r="Y93" s="2145"/>
      <c r="Z93" s="2145"/>
      <c r="AA93" s="2145"/>
      <c r="AB93" s="2082" t="s">
        <v>2307</v>
      </c>
      <c r="AC93" s="2082"/>
      <c r="AD93" s="2082"/>
      <c r="AE93" s="2082"/>
      <c r="AF93" s="2082"/>
      <c r="AG93" s="2082"/>
      <c r="AH93" s="2146"/>
      <c r="AI93" s="1208"/>
      <c r="AJ93" s="2137"/>
      <c r="AK93" s="2138"/>
      <c r="AL93" s="2138"/>
      <c r="AM93" s="2138"/>
      <c r="AN93" s="2138"/>
      <c r="AO93" s="2138"/>
      <c r="AP93" s="2138"/>
      <c r="AQ93" s="2138"/>
      <c r="AR93" s="2138"/>
      <c r="AS93" s="2138"/>
      <c r="AT93" s="2138"/>
      <c r="AU93" s="2138"/>
      <c r="AV93" s="2138"/>
      <c r="AW93" s="2138"/>
      <c r="AX93" s="2138"/>
      <c r="AY93" s="2155"/>
      <c r="AZ93" s="2155"/>
      <c r="BA93" s="2155"/>
      <c r="BB93" s="215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5"/>
      <c r="C94" s="2109"/>
      <c r="D94" s="2109"/>
      <c r="E94" s="2109"/>
      <c r="F94" s="2109"/>
      <c r="G94" s="2109"/>
      <c r="H94" s="2109"/>
      <c r="I94" s="2109"/>
      <c r="J94" s="2109"/>
      <c r="K94" s="2109"/>
      <c r="L94" s="2109"/>
      <c r="M94" s="2109"/>
      <c r="N94" s="2109"/>
      <c r="O94" s="2109"/>
      <c r="P94" s="2109"/>
      <c r="Q94" s="2109"/>
      <c r="R94" s="2109"/>
      <c r="S94" s="2109"/>
      <c r="T94" s="2109"/>
      <c r="U94" s="2109"/>
      <c r="V94" s="2145"/>
      <c r="W94" s="2145"/>
      <c r="X94" s="2145"/>
      <c r="Y94" s="2145"/>
      <c r="Z94" s="2145"/>
      <c r="AA94" s="2145"/>
      <c r="AB94" s="2082"/>
      <c r="AC94" s="2082"/>
      <c r="AD94" s="2082"/>
      <c r="AE94" s="2082"/>
      <c r="AF94" s="2082"/>
      <c r="AG94" s="2082"/>
      <c r="AH94" s="2146"/>
      <c r="AI94" s="1208"/>
      <c r="AJ94" s="2137"/>
      <c r="AK94" s="2138"/>
      <c r="AL94" s="2138"/>
      <c r="AM94" s="2138"/>
      <c r="AN94" s="2138"/>
      <c r="AO94" s="2138"/>
      <c r="AP94" s="2138"/>
      <c r="AQ94" s="2138"/>
      <c r="AR94" s="2138"/>
      <c r="AS94" s="2138"/>
      <c r="AT94" s="2138"/>
      <c r="AU94" s="2138"/>
      <c r="AV94" s="2138"/>
      <c r="AW94" s="2138"/>
      <c r="AX94" s="2138"/>
      <c r="AY94" s="2155"/>
      <c r="AZ94" s="2155"/>
      <c r="BA94" s="2155"/>
      <c r="BB94" s="215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5" t="s">
        <v>2306</v>
      </c>
      <c r="C95" s="2109"/>
      <c r="D95" s="2109"/>
      <c r="E95" s="2109"/>
      <c r="F95" s="2109"/>
      <c r="G95" s="2109"/>
      <c r="H95" s="2109"/>
      <c r="I95" s="2085">
        <v>0</v>
      </c>
      <c r="J95" s="2085"/>
      <c r="K95" s="2085"/>
      <c r="L95" s="2085"/>
      <c r="M95" s="2085"/>
      <c r="N95" s="2085"/>
      <c r="O95" s="2085">
        <v>0</v>
      </c>
      <c r="P95" s="2085"/>
      <c r="Q95" s="2085"/>
      <c r="R95" s="2085"/>
      <c r="S95" s="2085"/>
      <c r="T95" s="2085"/>
      <c r="U95" s="2085"/>
      <c r="V95" s="2085">
        <v>0</v>
      </c>
      <c r="W95" s="2085"/>
      <c r="X95" s="2085"/>
      <c r="Y95" s="2085"/>
      <c r="Z95" s="2085"/>
      <c r="AA95" s="2085"/>
      <c r="AB95" s="2085">
        <v>0</v>
      </c>
      <c r="AC95" s="2085"/>
      <c r="AD95" s="2085"/>
      <c r="AE95" s="2085"/>
      <c r="AF95" s="2085"/>
      <c r="AG95" s="2085"/>
      <c r="AH95" s="2086"/>
      <c r="AI95" s="1208"/>
      <c r="AJ95" s="2137"/>
      <c r="AK95" s="2138"/>
      <c r="AL95" s="2138"/>
      <c r="AM95" s="2138"/>
      <c r="AN95" s="2138"/>
      <c r="AO95" s="2138"/>
      <c r="AP95" s="2138"/>
      <c r="AQ95" s="2138"/>
      <c r="AR95" s="2138"/>
      <c r="AS95" s="2138"/>
      <c r="AT95" s="2138"/>
      <c r="AU95" s="2138"/>
      <c r="AV95" s="2138"/>
      <c r="AW95" s="2138"/>
      <c r="AX95" s="2138"/>
      <c r="AY95" s="2155"/>
      <c r="AZ95" s="2155"/>
      <c r="BA95" s="2155"/>
      <c r="BB95" s="215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5" t="s">
        <v>2305</v>
      </c>
      <c r="C96" s="2109"/>
      <c r="D96" s="2109"/>
      <c r="E96" s="2109"/>
      <c r="F96" s="2109"/>
      <c r="G96" s="2109"/>
      <c r="H96" s="2109"/>
      <c r="I96" s="2085">
        <v>0</v>
      </c>
      <c r="J96" s="2085"/>
      <c r="K96" s="2085"/>
      <c r="L96" s="2085"/>
      <c r="M96" s="2085"/>
      <c r="N96" s="2085"/>
      <c r="O96" s="2085">
        <v>0</v>
      </c>
      <c r="P96" s="2085"/>
      <c r="Q96" s="2085"/>
      <c r="R96" s="2085"/>
      <c r="S96" s="2085"/>
      <c r="T96" s="2085"/>
      <c r="U96" s="2085"/>
      <c r="V96" s="2085">
        <v>0</v>
      </c>
      <c r="W96" s="2085"/>
      <c r="X96" s="2085"/>
      <c r="Y96" s="2085"/>
      <c r="Z96" s="2085"/>
      <c r="AA96" s="2085"/>
      <c r="AB96" s="2085">
        <v>0</v>
      </c>
      <c r="AC96" s="2085"/>
      <c r="AD96" s="2085"/>
      <c r="AE96" s="2085"/>
      <c r="AF96" s="2085"/>
      <c r="AG96" s="2085"/>
      <c r="AH96" s="2086"/>
      <c r="AI96" s="1208"/>
      <c r="AJ96" s="2052" t="s">
        <v>2311</v>
      </c>
      <c r="AK96" s="2053"/>
      <c r="AL96" s="2053"/>
      <c r="AM96" s="2053"/>
      <c r="AN96" s="2053"/>
      <c r="AO96" s="2053"/>
      <c r="AP96" s="2053"/>
      <c r="AQ96" s="2053"/>
      <c r="AR96" s="2053"/>
      <c r="AS96" s="2053"/>
      <c r="AT96" s="2053"/>
      <c r="AU96" s="2053"/>
      <c r="AV96" s="2053"/>
      <c r="AW96" s="2053"/>
      <c r="AX96" s="2053"/>
      <c r="AY96" s="2053"/>
      <c r="AZ96" s="2053"/>
      <c r="BA96" s="2053"/>
      <c r="BB96" s="205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3" t="s">
        <v>2304</v>
      </c>
      <c r="C97" s="2144"/>
      <c r="D97" s="2144"/>
      <c r="E97" s="2144"/>
      <c r="F97" s="2144"/>
      <c r="G97" s="2144"/>
      <c r="H97" s="2144"/>
      <c r="I97" s="2079">
        <v>0</v>
      </c>
      <c r="J97" s="2079"/>
      <c r="K97" s="2079"/>
      <c r="L97" s="2079"/>
      <c r="M97" s="2079"/>
      <c r="N97" s="2079"/>
      <c r="O97" s="2079">
        <v>0</v>
      </c>
      <c r="P97" s="2079"/>
      <c r="Q97" s="2079"/>
      <c r="R97" s="2079"/>
      <c r="S97" s="2079"/>
      <c r="T97" s="2079"/>
      <c r="U97" s="2079"/>
      <c r="V97" s="2079">
        <v>0</v>
      </c>
      <c r="W97" s="2079"/>
      <c r="X97" s="2079"/>
      <c r="Y97" s="2079"/>
      <c r="Z97" s="2079"/>
      <c r="AA97" s="2079"/>
      <c r="AB97" s="2079">
        <v>0</v>
      </c>
      <c r="AC97" s="2079"/>
      <c r="AD97" s="2079"/>
      <c r="AE97" s="2079"/>
      <c r="AF97" s="2079"/>
      <c r="AG97" s="2079"/>
      <c r="AH97" s="2080"/>
      <c r="AI97" s="1208"/>
      <c r="AJ97" s="2055"/>
      <c r="AK97" s="2056"/>
      <c r="AL97" s="2056"/>
      <c r="AM97" s="2056"/>
      <c r="AN97" s="2056"/>
      <c r="AO97" s="2056"/>
      <c r="AP97" s="2056"/>
      <c r="AQ97" s="2056"/>
      <c r="AR97" s="2056"/>
      <c r="AS97" s="2056"/>
      <c r="AT97" s="2056"/>
      <c r="AU97" s="2056"/>
      <c r="AV97" s="2056"/>
      <c r="AW97" s="2056"/>
      <c r="AX97" s="2056"/>
      <c r="AY97" s="2056"/>
      <c r="AZ97" s="2056"/>
      <c r="BA97" s="2056"/>
      <c r="BB97" s="205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5" t="s">
        <v>2309</v>
      </c>
      <c r="C102" s="2036"/>
      <c r="D102" s="2036"/>
      <c r="E102" s="2036"/>
      <c r="F102" s="2036"/>
      <c r="G102" s="2036"/>
      <c r="H102" s="2036"/>
      <c r="I102" s="2036"/>
      <c r="J102" s="2036"/>
      <c r="K102" s="2036"/>
      <c r="L102" s="2036"/>
      <c r="M102" s="2036"/>
      <c r="N102" s="2036"/>
      <c r="O102" s="2036"/>
      <c r="P102" s="2036"/>
      <c r="Q102" s="2036"/>
      <c r="R102" s="2036"/>
      <c r="S102" s="2036"/>
      <c r="T102" s="2036"/>
      <c r="U102" s="2036"/>
      <c r="V102" s="2036"/>
      <c r="W102" s="2036"/>
      <c r="X102" s="2036"/>
      <c r="Y102" s="2036"/>
      <c r="Z102" s="2036"/>
      <c r="AA102" s="2036"/>
      <c r="AB102" s="2036"/>
      <c r="AC102" s="2036"/>
      <c r="AD102" s="2036"/>
      <c r="AE102" s="2036"/>
      <c r="AF102" s="2036"/>
      <c r="AG102" s="2036"/>
      <c r="AH102" s="204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5"/>
      <c r="C103" s="2109"/>
      <c r="D103" s="2109"/>
      <c r="E103" s="2109"/>
      <c r="F103" s="2109"/>
      <c r="G103" s="2109"/>
      <c r="H103" s="2109"/>
      <c r="I103" s="2109" t="s">
        <v>2308</v>
      </c>
      <c r="J103" s="2109"/>
      <c r="K103" s="2109"/>
      <c r="L103" s="2109"/>
      <c r="M103" s="2109"/>
      <c r="N103" s="2109"/>
      <c r="O103" s="2109" t="s">
        <v>2285</v>
      </c>
      <c r="P103" s="2109"/>
      <c r="Q103" s="2109"/>
      <c r="R103" s="2109"/>
      <c r="S103" s="2109"/>
      <c r="T103" s="2109"/>
      <c r="U103" s="2109"/>
      <c r="V103" s="2145" t="s">
        <v>2284</v>
      </c>
      <c r="W103" s="2145"/>
      <c r="X103" s="2145"/>
      <c r="Y103" s="2145"/>
      <c r="Z103" s="2145"/>
      <c r="AA103" s="2145"/>
      <c r="AB103" s="2082" t="s">
        <v>2307</v>
      </c>
      <c r="AC103" s="2082"/>
      <c r="AD103" s="2082"/>
      <c r="AE103" s="2082"/>
      <c r="AF103" s="2082"/>
      <c r="AG103" s="2082"/>
      <c r="AH103" s="214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5"/>
      <c r="C104" s="2109"/>
      <c r="D104" s="2109"/>
      <c r="E104" s="2109"/>
      <c r="F104" s="2109"/>
      <c r="G104" s="2109"/>
      <c r="H104" s="2109"/>
      <c r="I104" s="2109"/>
      <c r="J104" s="2109"/>
      <c r="K104" s="2109"/>
      <c r="L104" s="2109"/>
      <c r="M104" s="2109"/>
      <c r="N104" s="2109"/>
      <c r="O104" s="2109"/>
      <c r="P104" s="2109"/>
      <c r="Q104" s="2109"/>
      <c r="R104" s="2109"/>
      <c r="S104" s="2109"/>
      <c r="T104" s="2109"/>
      <c r="U104" s="2109"/>
      <c r="V104" s="2145"/>
      <c r="W104" s="2145"/>
      <c r="X104" s="2145"/>
      <c r="Y104" s="2145"/>
      <c r="Z104" s="2145"/>
      <c r="AA104" s="2145"/>
      <c r="AB104" s="2082"/>
      <c r="AC104" s="2082"/>
      <c r="AD104" s="2082"/>
      <c r="AE104" s="2082"/>
      <c r="AF104" s="2082"/>
      <c r="AG104" s="2082"/>
      <c r="AH104" s="214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5" t="s">
        <v>2306</v>
      </c>
      <c r="C105" s="2109"/>
      <c r="D105" s="2109"/>
      <c r="E105" s="2109"/>
      <c r="F105" s="2109"/>
      <c r="G105" s="2109"/>
      <c r="H105" s="2109"/>
      <c r="I105" s="2085">
        <v>0</v>
      </c>
      <c r="J105" s="2085"/>
      <c r="K105" s="2085"/>
      <c r="L105" s="2085"/>
      <c r="M105" s="2085"/>
      <c r="N105" s="2085"/>
      <c r="O105" s="2085">
        <v>0</v>
      </c>
      <c r="P105" s="2085"/>
      <c r="Q105" s="2085"/>
      <c r="R105" s="2085"/>
      <c r="S105" s="2085"/>
      <c r="T105" s="2085"/>
      <c r="U105" s="2085"/>
      <c r="V105" s="2085">
        <v>0</v>
      </c>
      <c r="W105" s="2085"/>
      <c r="X105" s="2085"/>
      <c r="Y105" s="2085"/>
      <c r="Z105" s="2085"/>
      <c r="AA105" s="2085"/>
      <c r="AB105" s="2085">
        <v>0</v>
      </c>
      <c r="AC105" s="2085"/>
      <c r="AD105" s="2085"/>
      <c r="AE105" s="2085"/>
      <c r="AF105" s="2085"/>
      <c r="AG105" s="2085"/>
      <c r="AH105" s="208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5" t="s">
        <v>2305</v>
      </c>
      <c r="C106" s="2109"/>
      <c r="D106" s="2109"/>
      <c r="E106" s="2109"/>
      <c r="F106" s="2109"/>
      <c r="G106" s="2109"/>
      <c r="H106" s="2109"/>
      <c r="I106" s="2085">
        <v>0</v>
      </c>
      <c r="J106" s="2085"/>
      <c r="K106" s="2085"/>
      <c r="L106" s="2085"/>
      <c r="M106" s="2085"/>
      <c r="N106" s="2085"/>
      <c r="O106" s="2085">
        <v>0</v>
      </c>
      <c r="P106" s="2085"/>
      <c r="Q106" s="2085"/>
      <c r="R106" s="2085"/>
      <c r="S106" s="2085"/>
      <c r="T106" s="2085"/>
      <c r="U106" s="2085"/>
      <c r="V106" s="2085">
        <v>0</v>
      </c>
      <c r="W106" s="2085"/>
      <c r="X106" s="2085"/>
      <c r="Y106" s="2085"/>
      <c r="Z106" s="2085"/>
      <c r="AA106" s="2085"/>
      <c r="AB106" s="2085">
        <v>0</v>
      </c>
      <c r="AC106" s="2085"/>
      <c r="AD106" s="2085"/>
      <c r="AE106" s="2085"/>
      <c r="AF106" s="2085"/>
      <c r="AG106" s="2085"/>
      <c r="AH106" s="208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3" t="s">
        <v>2304</v>
      </c>
      <c r="C107" s="2144"/>
      <c r="D107" s="2144"/>
      <c r="E107" s="2144"/>
      <c r="F107" s="2144"/>
      <c r="G107" s="2144"/>
      <c r="H107" s="2144"/>
      <c r="I107" s="2079">
        <v>0</v>
      </c>
      <c r="J107" s="2079"/>
      <c r="K107" s="2079"/>
      <c r="L107" s="2079"/>
      <c r="M107" s="2079"/>
      <c r="N107" s="2079"/>
      <c r="O107" s="2079">
        <v>0</v>
      </c>
      <c r="P107" s="2079"/>
      <c r="Q107" s="2079"/>
      <c r="R107" s="2079"/>
      <c r="S107" s="2079"/>
      <c r="T107" s="2079"/>
      <c r="U107" s="2079"/>
      <c r="V107" s="2079">
        <v>0</v>
      </c>
      <c r="W107" s="2079"/>
      <c r="X107" s="2079"/>
      <c r="Y107" s="2079"/>
      <c r="Z107" s="2079"/>
      <c r="AA107" s="2079"/>
      <c r="AB107" s="2079">
        <v>0</v>
      </c>
      <c r="AC107" s="2079"/>
      <c r="AD107" s="2079"/>
      <c r="AE107" s="2079"/>
      <c r="AF107" s="2079"/>
      <c r="AG107" s="2079"/>
      <c r="AH107" s="208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6" t="s">
        <v>2618</v>
      </c>
      <c r="C112" s="2117"/>
      <c r="D112" s="2117"/>
      <c r="E112" s="2117"/>
      <c r="F112" s="2117"/>
      <c r="G112" s="2117"/>
      <c r="H112" s="2117"/>
      <c r="I112" s="2117"/>
      <c r="J112" s="2117"/>
      <c r="K112" s="2117"/>
      <c r="L112" s="2117"/>
      <c r="M112" s="2117"/>
      <c r="N112" s="2117"/>
      <c r="O112" s="2117"/>
      <c r="P112" s="2117"/>
      <c r="Q112" s="2117"/>
      <c r="R112" s="2117"/>
      <c r="S112" s="2117"/>
      <c r="T112" s="2117"/>
      <c r="U112" s="2120" t="s">
        <v>544</v>
      </c>
      <c r="V112" s="2120"/>
      <c r="W112" s="2120"/>
      <c r="X112" s="212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8"/>
      <c r="C113" s="2119"/>
      <c r="D113" s="2119"/>
      <c r="E113" s="2119"/>
      <c r="F113" s="2119"/>
      <c r="G113" s="2119"/>
      <c r="H113" s="2119"/>
      <c r="I113" s="2119"/>
      <c r="J113" s="2119"/>
      <c r="K113" s="2119"/>
      <c r="L113" s="2119"/>
      <c r="M113" s="2119"/>
      <c r="N113" s="2119"/>
      <c r="O113" s="2119"/>
      <c r="P113" s="2119"/>
      <c r="Q113" s="2119"/>
      <c r="R113" s="2119"/>
      <c r="S113" s="2119"/>
      <c r="T113" s="2119"/>
      <c r="U113" s="2122"/>
      <c r="V113" s="2122"/>
      <c r="W113" s="2122"/>
      <c r="X113" s="212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8"/>
      <c r="C114" s="2119"/>
      <c r="D114" s="2119"/>
      <c r="E114" s="2119"/>
      <c r="F114" s="2119"/>
      <c r="G114" s="2119"/>
      <c r="H114" s="2119"/>
      <c r="I114" s="2119"/>
      <c r="J114" s="2119"/>
      <c r="K114" s="2119"/>
      <c r="L114" s="2119"/>
      <c r="M114" s="2119"/>
      <c r="N114" s="2119"/>
      <c r="O114" s="2119"/>
      <c r="P114" s="2119"/>
      <c r="Q114" s="2119"/>
      <c r="R114" s="2119"/>
      <c r="S114" s="2119"/>
      <c r="T114" s="2119"/>
      <c r="U114" s="2122"/>
      <c r="V114" s="2122"/>
      <c r="W114" s="2122"/>
      <c r="X114" s="212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8"/>
      <c r="C115" s="2119"/>
      <c r="D115" s="2119"/>
      <c r="E115" s="2119"/>
      <c r="F115" s="2119"/>
      <c r="G115" s="2119"/>
      <c r="H115" s="2119"/>
      <c r="I115" s="2119"/>
      <c r="J115" s="2119"/>
      <c r="K115" s="2119"/>
      <c r="L115" s="2119"/>
      <c r="M115" s="2119"/>
      <c r="N115" s="2119"/>
      <c r="O115" s="2119"/>
      <c r="P115" s="2119"/>
      <c r="Q115" s="2119"/>
      <c r="R115" s="2119"/>
      <c r="S115" s="2119"/>
      <c r="T115" s="2119"/>
      <c r="U115" s="2122"/>
      <c r="V115" s="2122"/>
      <c r="W115" s="2122"/>
      <c r="X115" s="212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4" t="s">
        <v>2618</v>
      </c>
      <c r="C116" s="2125"/>
      <c r="D116" s="2125"/>
      <c r="E116" s="2125"/>
      <c r="F116" s="2125"/>
      <c r="G116" s="2125"/>
      <c r="H116" s="2125"/>
      <c r="I116" s="2125"/>
      <c r="J116" s="2125"/>
      <c r="K116" s="2125"/>
      <c r="L116" s="2125"/>
      <c r="M116" s="2125"/>
      <c r="N116" s="2125"/>
      <c r="O116" s="2125"/>
      <c r="P116" s="2125"/>
      <c r="Q116" s="2125"/>
      <c r="R116" s="2125"/>
      <c r="S116" s="2125"/>
      <c r="T116" s="2125"/>
      <c r="U116" s="2128" t="s">
        <v>544</v>
      </c>
      <c r="V116" s="2128"/>
      <c r="W116" s="2128"/>
      <c r="X116" s="212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6"/>
      <c r="C117" s="2127"/>
      <c r="D117" s="2127"/>
      <c r="E117" s="2127"/>
      <c r="F117" s="2127"/>
      <c r="G117" s="2127"/>
      <c r="H117" s="2127"/>
      <c r="I117" s="2127"/>
      <c r="J117" s="2127"/>
      <c r="K117" s="2127"/>
      <c r="L117" s="2127"/>
      <c r="M117" s="2127"/>
      <c r="N117" s="2127"/>
      <c r="O117" s="2127"/>
      <c r="P117" s="2127"/>
      <c r="Q117" s="2127"/>
      <c r="R117" s="2127"/>
      <c r="S117" s="2127"/>
      <c r="T117" s="2127"/>
      <c r="U117" s="2130"/>
      <c r="V117" s="2130"/>
      <c r="W117" s="2130"/>
      <c r="X117" s="213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4" t="s">
        <v>2301</v>
      </c>
      <c r="Y120" s="2135"/>
      <c r="Z120" s="2135"/>
      <c r="AA120" s="2135"/>
      <c r="AB120" s="2135"/>
      <c r="AC120" s="2135"/>
      <c r="AD120" s="2135"/>
      <c r="AE120" s="2135"/>
      <c r="AF120" s="2135"/>
      <c r="AG120" s="2135"/>
      <c r="AH120" s="2135"/>
      <c r="AI120" s="2135"/>
      <c r="AJ120" s="2135"/>
      <c r="AK120" s="2135"/>
      <c r="AL120" s="2135"/>
      <c r="AM120" s="2135"/>
      <c r="AN120" s="2135"/>
      <c r="AO120" s="2135"/>
      <c r="AP120" s="2135"/>
      <c r="AQ120" s="2135"/>
      <c r="AR120" s="2135"/>
      <c r="AS120" s="2135"/>
      <c r="AT120" s="2135"/>
      <c r="AU120" s="2135"/>
      <c r="AV120" s="2135"/>
      <c r="AW120" s="2135"/>
      <c r="AX120" s="2135"/>
      <c r="AY120" s="2135"/>
      <c r="AZ120" s="2135"/>
      <c r="BA120" s="2135"/>
      <c r="BB120" s="2135"/>
      <c r="BC120" s="2135"/>
      <c r="BD120" s="2136"/>
      <c r="BE120" s="1215"/>
    </row>
    <row r="121" spans="1:57" ht="15.75" customHeight="1">
      <c r="A121" s="1208"/>
      <c r="B121" s="2140" t="s">
        <v>1564</v>
      </c>
      <c r="C121" s="2141"/>
      <c r="D121" s="2141"/>
      <c r="E121" s="2141"/>
      <c r="F121" s="2141"/>
      <c r="G121" s="2141"/>
      <c r="H121" s="2141"/>
      <c r="I121" s="2141"/>
      <c r="J121" s="2141"/>
      <c r="K121" s="2141"/>
      <c r="L121" s="2141"/>
      <c r="M121" s="2141"/>
      <c r="N121" s="2141"/>
      <c r="O121" s="2141"/>
      <c r="P121" s="2141"/>
      <c r="Q121" s="2141"/>
      <c r="R121" s="2141"/>
      <c r="S121" s="2141"/>
      <c r="T121" s="2141"/>
      <c r="U121" s="2142"/>
      <c r="V121" s="1208"/>
      <c r="W121" s="1208"/>
      <c r="X121" s="2137"/>
      <c r="Y121" s="2138"/>
      <c r="Z121" s="2138"/>
      <c r="AA121" s="2138"/>
      <c r="AB121" s="2138"/>
      <c r="AC121" s="2138"/>
      <c r="AD121" s="2138"/>
      <c r="AE121" s="2138"/>
      <c r="AF121" s="2138"/>
      <c r="AG121" s="2138"/>
      <c r="AH121" s="2138"/>
      <c r="AI121" s="2138"/>
      <c r="AJ121" s="2138"/>
      <c r="AK121" s="2138"/>
      <c r="AL121" s="2138"/>
      <c r="AM121" s="2138"/>
      <c r="AN121" s="2138"/>
      <c r="AO121" s="2138"/>
      <c r="AP121" s="2138"/>
      <c r="AQ121" s="2138"/>
      <c r="AR121" s="2138"/>
      <c r="AS121" s="2138"/>
      <c r="AT121" s="2138"/>
      <c r="AU121" s="2138"/>
      <c r="AV121" s="2138"/>
      <c r="AW121" s="2138"/>
      <c r="AX121" s="2138"/>
      <c r="AY121" s="2138"/>
      <c r="AZ121" s="2138"/>
      <c r="BA121" s="2138"/>
      <c r="BB121" s="2138"/>
      <c r="BC121" s="2138"/>
      <c r="BD121" s="2139"/>
      <c r="BE121" s="1215"/>
    </row>
    <row r="122" spans="1:57" ht="15.75" customHeight="1">
      <c r="A122" s="1208"/>
      <c r="B122" s="2049"/>
      <c r="C122" s="2050"/>
      <c r="D122" s="2050"/>
      <c r="E122" s="2050"/>
      <c r="F122" s="2050"/>
      <c r="G122" s="2050"/>
      <c r="H122" s="2050"/>
      <c r="I122" s="2109" t="s">
        <v>2300</v>
      </c>
      <c r="J122" s="2109"/>
      <c r="K122" s="2109"/>
      <c r="L122" s="2109"/>
      <c r="M122" s="2109"/>
      <c r="N122" s="2109"/>
      <c r="O122" s="2110" t="s">
        <v>2299</v>
      </c>
      <c r="P122" s="2110"/>
      <c r="Q122" s="2110"/>
      <c r="R122" s="2110"/>
      <c r="S122" s="2110"/>
      <c r="T122" s="2110"/>
      <c r="U122" s="2111"/>
      <c r="V122" s="1208"/>
      <c r="W122" s="1208"/>
      <c r="X122" s="2052" t="s">
        <v>2269</v>
      </c>
      <c r="Y122" s="2053"/>
      <c r="Z122" s="2053"/>
      <c r="AA122" s="2053"/>
      <c r="AB122" s="2053"/>
      <c r="AC122" s="2053"/>
      <c r="AD122" s="2053"/>
      <c r="AE122" s="2053"/>
      <c r="AF122" s="2053"/>
      <c r="AG122" s="2053"/>
      <c r="AH122" s="2053"/>
      <c r="AI122" s="2053"/>
      <c r="AJ122" s="2053"/>
      <c r="AK122" s="2053"/>
      <c r="AL122" s="2053"/>
      <c r="AM122" s="2053"/>
      <c r="AN122" s="2053"/>
      <c r="AO122" s="2053"/>
      <c r="AP122" s="2053"/>
      <c r="AQ122" s="2053"/>
      <c r="AR122" s="2053"/>
      <c r="AS122" s="2053"/>
      <c r="AT122" s="2053"/>
      <c r="AU122" s="2053"/>
      <c r="AV122" s="2053"/>
      <c r="AW122" s="2053"/>
      <c r="AX122" s="2053"/>
      <c r="AY122" s="2053"/>
      <c r="AZ122" s="2053"/>
      <c r="BA122" s="2053"/>
      <c r="BB122" s="2053"/>
      <c r="BC122" s="2053"/>
      <c r="BD122" s="2054"/>
      <c r="BE122" s="1215"/>
    </row>
    <row r="123" spans="1:57" ht="15.75" customHeight="1">
      <c r="A123" s="1208"/>
      <c r="B123" s="2083" t="s">
        <v>2283</v>
      </c>
      <c r="C123" s="2084"/>
      <c r="D123" s="2084"/>
      <c r="E123" s="2084"/>
      <c r="F123" s="2084"/>
      <c r="G123" s="2084"/>
      <c r="H123" s="2084"/>
      <c r="I123" s="2085">
        <v>0</v>
      </c>
      <c r="J123" s="2085"/>
      <c r="K123" s="2085"/>
      <c r="L123" s="2085"/>
      <c r="M123" s="2085"/>
      <c r="N123" s="2085"/>
      <c r="O123" s="2085">
        <v>0</v>
      </c>
      <c r="P123" s="2085"/>
      <c r="Q123" s="2085"/>
      <c r="R123" s="2085"/>
      <c r="S123" s="2085"/>
      <c r="T123" s="2085"/>
      <c r="U123" s="2086"/>
      <c r="V123" s="1208"/>
      <c r="W123" s="1208"/>
      <c r="X123" s="2052"/>
      <c r="Y123" s="2053"/>
      <c r="Z123" s="2053"/>
      <c r="AA123" s="2053"/>
      <c r="AB123" s="2053"/>
      <c r="AC123" s="2053"/>
      <c r="AD123" s="2053"/>
      <c r="AE123" s="2053"/>
      <c r="AF123" s="2053"/>
      <c r="AG123" s="2053"/>
      <c r="AH123" s="2053"/>
      <c r="AI123" s="2053"/>
      <c r="AJ123" s="2053"/>
      <c r="AK123" s="2053"/>
      <c r="AL123" s="2053"/>
      <c r="AM123" s="2053"/>
      <c r="AN123" s="2053"/>
      <c r="AO123" s="2053"/>
      <c r="AP123" s="2053"/>
      <c r="AQ123" s="2053"/>
      <c r="AR123" s="2053"/>
      <c r="AS123" s="2053"/>
      <c r="AT123" s="2053"/>
      <c r="AU123" s="2053"/>
      <c r="AV123" s="2053"/>
      <c r="AW123" s="2053"/>
      <c r="AX123" s="2053"/>
      <c r="AY123" s="2053"/>
      <c r="AZ123" s="2053"/>
      <c r="BA123" s="2053"/>
      <c r="BB123" s="2053"/>
      <c r="BC123" s="2053"/>
      <c r="BD123" s="2054"/>
      <c r="BE123" s="1215"/>
    </row>
    <row r="124" spans="1:57" ht="15.75" customHeight="1" thickBot="1">
      <c r="A124" s="1208"/>
      <c r="B124" s="2077" t="s">
        <v>2282</v>
      </c>
      <c r="C124" s="2078"/>
      <c r="D124" s="2078"/>
      <c r="E124" s="2078"/>
      <c r="F124" s="2078"/>
      <c r="G124" s="2078"/>
      <c r="H124" s="2078"/>
      <c r="I124" s="2079">
        <v>0</v>
      </c>
      <c r="J124" s="2079"/>
      <c r="K124" s="2079"/>
      <c r="L124" s="2079"/>
      <c r="M124" s="2079"/>
      <c r="N124" s="2079"/>
      <c r="O124" s="2132"/>
      <c r="P124" s="2132"/>
      <c r="Q124" s="2132"/>
      <c r="R124" s="2132"/>
      <c r="S124" s="2132"/>
      <c r="T124" s="2132"/>
      <c r="U124" s="2133"/>
      <c r="V124" s="1208"/>
      <c r="W124" s="1208"/>
      <c r="X124" s="2052"/>
      <c r="Y124" s="2053"/>
      <c r="Z124" s="2053"/>
      <c r="AA124" s="2053"/>
      <c r="AB124" s="2053"/>
      <c r="AC124" s="2053"/>
      <c r="AD124" s="2053"/>
      <c r="AE124" s="2053"/>
      <c r="AF124" s="2053"/>
      <c r="AG124" s="2053"/>
      <c r="AH124" s="2053"/>
      <c r="AI124" s="2053"/>
      <c r="AJ124" s="2053"/>
      <c r="AK124" s="2053"/>
      <c r="AL124" s="2053"/>
      <c r="AM124" s="2053"/>
      <c r="AN124" s="2053"/>
      <c r="AO124" s="2053"/>
      <c r="AP124" s="2053"/>
      <c r="AQ124" s="2053"/>
      <c r="AR124" s="2053"/>
      <c r="AS124" s="2053"/>
      <c r="AT124" s="2053"/>
      <c r="AU124" s="2053"/>
      <c r="AV124" s="2053"/>
      <c r="AW124" s="2053"/>
      <c r="AX124" s="2053"/>
      <c r="AY124" s="2053"/>
      <c r="AZ124" s="2053"/>
      <c r="BA124" s="2053"/>
      <c r="BB124" s="2053"/>
      <c r="BC124" s="2053"/>
      <c r="BD124" s="205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2"/>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2"/>
      <c r="Y126" s="2053"/>
      <c r="Z126" s="2053"/>
      <c r="AA126" s="2053"/>
      <c r="AB126" s="2053"/>
      <c r="AC126" s="2053"/>
      <c r="AD126" s="2053"/>
      <c r="AE126" s="2053"/>
      <c r="AF126" s="2053"/>
      <c r="AG126" s="2053"/>
      <c r="AH126" s="2053"/>
      <c r="AI126" s="2053"/>
      <c r="AJ126" s="2053"/>
      <c r="AK126" s="2053"/>
      <c r="AL126" s="2053"/>
      <c r="AM126" s="2053"/>
      <c r="AN126" s="2053"/>
      <c r="AO126" s="2053"/>
      <c r="AP126" s="2053"/>
      <c r="AQ126" s="2053"/>
      <c r="AR126" s="2053"/>
      <c r="AS126" s="2053"/>
      <c r="AT126" s="2053"/>
      <c r="AU126" s="2053"/>
      <c r="AV126" s="2053"/>
      <c r="AW126" s="2053"/>
      <c r="AX126" s="2053"/>
      <c r="AY126" s="2053"/>
      <c r="AZ126" s="2053"/>
      <c r="BA126" s="2053"/>
      <c r="BB126" s="2053"/>
      <c r="BC126" s="2053"/>
      <c r="BD126" s="205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2"/>
      <c r="Y127" s="2053"/>
      <c r="Z127" s="2053"/>
      <c r="AA127" s="2053"/>
      <c r="AB127" s="2053"/>
      <c r="AC127" s="2053"/>
      <c r="AD127" s="2053"/>
      <c r="AE127" s="2053"/>
      <c r="AF127" s="2053"/>
      <c r="AG127" s="2053"/>
      <c r="AH127" s="2053"/>
      <c r="AI127" s="2053"/>
      <c r="AJ127" s="2053"/>
      <c r="AK127" s="2053"/>
      <c r="AL127" s="2053"/>
      <c r="AM127" s="2053"/>
      <c r="AN127" s="2053"/>
      <c r="AO127" s="2053"/>
      <c r="AP127" s="2053"/>
      <c r="AQ127" s="2053"/>
      <c r="AR127" s="2053"/>
      <c r="AS127" s="2053"/>
      <c r="AT127" s="2053"/>
      <c r="AU127" s="2053"/>
      <c r="AV127" s="2053"/>
      <c r="AW127" s="2053"/>
      <c r="AX127" s="2053"/>
      <c r="AY127" s="2053"/>
      <c r="AZ127" s="2053"/>
      <c r="BA127" s="2053"/>
      <c r="BB127" s="2053"/>
      <c r="BC127" s="2053"/>
      <c r="BD127" s="2054"/>
      <c r="BE127" s="1215"/>
    </row>
    <row r="128" spans="1:57" ht="15.75" customHeight="1">
      <c r="A128" s="1208"/>
      <c r="B128" s="2112" t="s">
        <v>2297</v>
      </c>
      <c r="C128" s="2113"/>
      <c r="D128" s="2113"/>
      <c r="E128" s="2113"/>
      <c r="F128" s="2113"/>
      <c r="G128" s="2113"/>
      <c r="H128" s="2113"/>
      <c r="I128" s="2113"/>
      <c r="J128" s="2113"/>
      <c r="K128" s="2113"/>
      <c r="L128" s="2113"/>
      <c r="M128" s="2113"/>
      <c r="N128" s="2113"/>
      <c r="O128" s="2113"/>
      <c r="P128" s="2113"/>
      <c r="Q128" s="2113"/>
      <c r="R128" s="2113"/>
      <c r="S128" s="2113"/>
      <c r="T128" s="2113"/>
      <c r="U128" s="2114"/>
      <c r="V128" s="1208"/>
      <c r="W128" s="1208"/>
      <c r="X128" s="2052"/>
      <c r="Y128" s="2053"/>
      <c r="Z128" s="2053"/>
      <c r="AA128" s="2053"/>
      <c r="AB128" s="2053"/>
      <c r="AC128" s="2053"/>
      <c r="AD128" s="2053"/>
      <c r="AE128" s="2053"/>
      <c r="AF128" s="2053"/>
      <c r="AG128" s="2053"/>
      <c r="AH128" s="2053"/>
      <c r="AI128" s="2053"/>
      <c r="AJ128" s="2053"/>
      <c r="AK128" s="2053"/>
      <c r="AL128" s="2053"/>
      <c r="AM128" s="2053"/>
      <c r="AN128" s="2053"/>
      <c r="AO128" s="2053"/>
      <c r="AP128" s="2053"/>
      <c r="AQ128" s="2053"/>
      <c r="AR128" s="2053"/>
      <c r="AS128" s="2053"/>
      <c r="AT128" s="2053"/>
      <c r="AU128" s="2053"/>
      <c r="AV128" s="2053"/>
      <c r="AW128" s="2053"/>
      <c r="AX128" s="2053"/>
      <c r="AY128" s="2053"/>
      <c r="AZ128" s="2053"/>
      <c r="BA128" s="2053"/>
      <c r="BB128" s="2053"/>
      <c r="BC128" s="2053"/>
      <c r="BD128" s="2054"/>
      <c r="BE128" s="1215"/>
    </row>
    <row r="129" spans="1:57" ht="15.75" customHeight="1">
      <c r="A129" s="1208"/>
      <c r="B129" s="2049"/>
      <c r="C129" s="2050"/>
      <c r="D129" s="2050"/>
      <c r="E129" s="2050"/>
      <c r="F129" s="2050"/>
      <c r="G129" s="2050"/>
      <c r="H129" s="2050"/>
      <c r="I129" s="2087" t="s">
        <v>2285</v>
      </c>
      <c r="J129" s="2087"/>
      <c r="K129" s="2087"/>
      <c r="L129" s="2087"/>
      <c r="M129" s="2087"/>
      <c r="N129" s="2087"/>
      <c r="O129" s="2087"/>
      <c r="P129" s="2087" t="s">
        <v>2284</v>
      </c>
      <c r="Q129" s="2087"/>
      <c r="R129" s="2087"/>
      <c r="S129" s="2087"/>
      <c r="T129" s="2087"/>
      <c r="U129" s="2088"/>
      <c r="V129" s="1208"/>
      <c r="W129" s="1208"/>
      <c r="X129" s="2052"/>
      <c r="Y129" s="2053"/>
      <c r="Z129" s="2053"/>
      <c r="AA129" s="2053"/>
      <c r="AB129" s="2053"/>
      <c r="AC129" s="2053"/>
      <c r="AD129" s="2053"/>
      <c r="AE129" s="2053"/>
      <c r="AF129" s="2053"/>
      <c r="AG129" s="2053"/>
      <c r="AH129" s="2053"/>
      <c r="AI129" s="2053"/>
      <c r="AJ129" s="2053"/>
      <c r="AK129" s="2053"/>
      <c r="AL129" s="2053"/>
      <c r="AM129" s="2053"/>
      <c r="AN129" s="2053"/>
      <c r="AO129" s="2053"/>
      <c r="AP129" s="2053"/>
      <c r="AQ129" s="2053"/>
      <c r="AR129" s="2053"/>
      <c r="AS129" s="2053"/>
      <c r="AT129" s="2053"/>
      <c r="AU129" s="2053"/>
      <c r="AV129" s="2053"/>
      <c r="AW129" s="2053"/>
      <c r="AX129" s="2053"/>
      <c r="AY129" s="2053"/>
      <c r="AZ129" s="2053"/>
      <c r="BA129" s="2053"/>
      <c r="BB129" s="2053"/>
      <c r="BC129" s="2053"/>
      <c r="BD129" s="2054"/>
      <c r="BE129" s="1215"/>
    </row>
    <row r="130" spans="1:57" ht="15.75" customHeight="1">
      <c r="A130" s="1208"/>
      <c r="B130" s="2049"/>
      <c r="C130" s="2050"/>
      <c r="D130" s="2050"/>
      <c r="E130" s="2050"/>
      <c r="F130" s="2050"/>
      <c r="G130" s="2050"/>
      <c r="H130" s="2050"/>
      <c r="I130" s="2087"/>
      <c r="J130" s="2087"/>
      <c r="K130" s="2087"/>
      <c r="L130" s="2087"/>
      <c r="M130" s="2087"/>
      <c r="N130" s="2087"/>
      <c r="O130" s="2087"/>
      <c r="P130" s="2087"/>
      <c r="Q130" s="2087"/>
      <c r="R130" s="2087"/>
      <c r="S130" s="2087"/>
      <c r="T130" s="2087"/>
      <c r="U130" s="2088"/>
      <c r="V130" s="1208"/>
      <c r="W130" s="1208"/>
      <c r="X130" s="2052"/>
      <c r="Y130" s="2053"/>
      <c r="Z130" s="2053"/>
      <c r="AA130" s="2053"/>
      <c r="AB130" s="2053"/>
      <c r="AC130" s="2053"/>
      <c r="AD130" s="2053"/>
      <c r="AE130" s="2053"/>
      <c r="AF130" s="2053"/>
      <c r="AG130" s="2053"/>
      <c r="AH130" s="2053"/>
      <c r="AI130" s="2053"/>
      <c r="AJ130" s="2053"/>
      <c r="AK130" s="2053"/>
      <c r="AL130" s="2053"/>
      <c r="AM130" s="2053"/>
      <c r="AN130" s="2053"/>
      <c r="AO130" s="2053"/>
      <c r="AP130" s="2053"/>
      <c r="AQ130" s="2053"/>
      <c r="AR130" s="2053"/>
      <c r="AS130" s="2053"/>
      <c r="AT130" s="2053"/>
      <c r="AU130" s="2053"/>
      <c r="AV130" s="2053"/>
      <c r="AW130" s="2053"/>
      <c r="AX130" s="2053"/>
      <c r="AY130" s="2053"/>
      <c r="AZ130" s="2053"/>
      <c r="BA130" s="2053"/>
      <c r="BB130" s="2053"/>
      <c r="BC130" s="2053"/>
      <c r="BD130" s="2054"/>
      <c r="BE130" s="1215"/>
    </row>
    <row r="131" spans="1:57" ht="15.75" customHeight="1">
      <c r="A131" s="1208"/>
      <c r="B131" s="2083" t="s">
        <v>2283</v>
      </c>
      <c r="C131" s="2084"/>
      <c r="D131" s="2084"/>
      <c r="E131" s="2084"/>
      <c r="F131" s="2084"/>
      <c r="G131" s="2084"/>
      <c r="H131" s="2084"/>
      <c r="I131" s="2085">
        <v>0</v>
      </c>
      <c r="J131" s="2085"/>
      <c r="K131" s="2085"/>
      <c r="L131" s="2085"/>
      <c r="M131" s="2085"/>
      <c r="N131" s="2085"/>
      <c r="O131" s="2085"/>
      <c r="P131" s="2085">
        <v>0</v>
      </c>
      <c r="Q131" s="2085"/>
      <c r="R131" s="2085"/>
      <c r="S131" s="2085"/>
      <c r="T131" s="2085"/>
      <c r="U131" s="2086"/>
      <c r="V131" s="1208"/>
      <c r="W131" s="1208"/>
      <c r="X131" s="2052"/>
      <c r="Y131" s="2053"/>
      <c r="Z131" s="2053"/>
      <c r="AA131" s="2053"/>
      <c r="AB131" s="2053"/>
      <c r="AC131" s="2053"/>
      <c r="AD131" s="2053"/>
      <c r="AE131" s="2053"/>
      <c r="AF131" s="2053"/>
      <c r="AG131" s="2053"/>
      <c r="AH131" s="2053"/>
      <c r="AI131" s="2053"/>
      <c r="AJ131" s="2053"/>
      <c r="AK131" s="2053"/>
      <c r="AL131" s="2053"/>
      <c r="AM131" s="2053"/>
      <c r="AN131" s="2053"/>
      <c r="AO131" s="2053"/>
      <c r="AP131" s="2053"/>
      <c r="AQ131" s="2053"/>
      <c r="AR131" s="2053"/>
      <c r="AS131" s="2053"/>
      <c r="AT131" s="2053"/>
      <c r="AU131" s="2053"/>
      <c r="AV131" s="2053"/>
      <c r="AW131" s="2053"/>
      <c r="AX131" s="2053"/>
      <c r="AY131" s="2053"/>
      <c r="AZ131" s="2053"/>
      <c r="BA131" s="2053"/>
      <c r="BB131" s="2053"/>
      <c r="BC131" s="2053"/>
      <c r="BD131" s="2054"/>
      <c r="BE131" s="1215"/>
    </row>
    <row r="132" spans="1:57" ht="15.75" customHeight="1" thickBot="1">
      <c r="A132" s="1208"/>
      <c r="B132" s="2077" t="s">
        <v>2282</v>
      </c>
      <c r="C132" s="2078"/>
      <c r="D132" s="2078"/>
      <c r="E132" s="2078"/>
      <c r="F132" s="2078"/>
      <c r="G132" s="2078"/>
      <c r="H132" s="2078"/>
      <c r="I132" s="2079">
        <v>0</v>
      </c>
      <c r="J132" s="2079"/>
      <c r="K132" s="2079"/>
      <c r="L132" s="2079"/>
      <c r="M132" s="2079"/>
      <c r="N132" s="2079"/>
      <c r="O132" s="2079"/>
      <c r="P132" s="2079">
        <v>0</v>
      </c>
      <c r="Q132" s="2079"/>
      <c r="R132" s="2079"/>
      <c r="S132" s="2079"/>
      <c r="T132" s="2079"/>
      <c r="U132" s="2080"/>
      <c r="V132" s="1208"/>
      <c r="W132" s="1208"/>
      <c r="X132" s="2055"/>
      <c r="Y132" s="2056"/>
      <c r="Z132" s="2056"/>
      <c r="AA132" s="2056"/>
      <c r="AB132" s="2056"/>
      <c r="AC132" s="2056"/>
      <c r="AD132" s="2056"/>
      <c r="AE132" s="2056"/>
      <c r="AF132" s="2056"/>
      <c r="AG132" s="2056"/>
      <c r="AH132" s="2056"/>
      <c r="AI132" s="2056"/>
      <c r="AJ132" s="2056"/>
      <c r="AK132" s="2056"/>
      <c r="AL132" s="2056"/>
      <c r="AM132" s="2056"/>
      <c r="AN132" s="2056"/>
      <c r="AO132" s="2056"/>
      <c r="AP132" s="2056"/>
      <c r="AQ132" s="2056"/>
      <c r="AR132" s="2056"/>
      <c r="AS132" s="2056"/>
      <c r="AT132" s="2056"/>
      <c r="AU132" s="2056"/>
      <c r="AV132" s="2056"/>
      <c r="AW132" s="2056"/>
      <c r="AX132" s="2056"/>
      <c r="AY132" s="2056"/>
      <c r="AZ132" s="2056"/>
      <c r="BA132" s="2056"/>
      <c r="BB132" s="2056"/>
      <c r="BC132" s="2056"/>
      <c r="BD132" s="205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4" t="s">
        <v>2296</v>
      </c>
      <c r="C134" s="2105"/>
      <c r="D134" s="2105"/>
      <c r="E134" s="2105"/>
      <c r="F134" s="2105"/>
      <c r="G134" s="2105"/>
      <c r="H134" s="2105"/>
      <c r="I134" s="2105"/>
      <c r="J134" s="2105"/>
      <c r="K134" s="2105"/>
      <c r="L134" s="2105"/>
      <c r="M134" s="2105"/>
      <c r="N134" s="2105"/>
      <c r="O134" s="2105"/>
      <c r="P134" s="2105"/>
      <c r="Q134" s="2105"/>
      <c r="R134" s="2105"/>
      <c r="S134" s="2105"/>
      <c r="T134" s="2105"/>
      <c r="U134" s="2105"/>
      <c r="V134" s="2105"/>
      <c r="W134" s="2105"/>
      <c r="X134" s="2105"/>
      <c r="Y134" s="2105"/>
      <c r="Z134" s="2105"/>
      <c r="AA134" s="2105"/>
      <c r="AB134" s="2105"/>
      <c r="AC134" s="2105"/>
      <c r="AD134" s="2105"/>
      <c r="AE134" s="2105"/>
      <c r="AF134" s="2105"/>
      <c r="AG134" s="2105"/>
      <c r="AH134" s="2092" t="s">
        <v>544</v>
      </c>
      <c r="AI134" s="2092"/>
      <c r="AJ134" s="2092"/>
      <c r="AK134" s="2092"/>
      <c r="AL134" s="2092"/>
      <c r="AM134" s="2092"/>
      <c r="AN134" s="2092"/>
      <c r="AO134" s="2092"/>
      <c r="AP134" s="2092"/>
      <c r="AQ134" s="2092"/>
      <c r="AR134" s="2092"/>
      <c r="AS134" s="2092"/>
      <c r="AT134" s="2092"/>
      <c r="AU134" s="2092"/>
      <c r="AV134" s="2092"/>
      <c r="AW134" s="2092"/>
      <c r="AX134" s="2093"/>
      <c r="AY134" s="1208"/>
      <c r="AZ134" s="1208"/>
      <c r="BA134" s="1208"/>
      <c r="BB134" s="1208"/>
      <c r="BC134" s="1208"/>
      <c r="BD134" s="1208"/>
      <c r="BE134" s="1215"/>
    </row>
    <row r="135" spans="1:57" ht="15.75" customHeight="1" thickBot="1">
      <c r="A135" s="1208"/>
      <c r="B135" s="2089" t="s">
        <v>2295</v>
      </c>
      <c r="C135" s="2090"/>
      <c r="D135" s="2090"/>
      <c r="E135" s="2090"/>
      <c r="F135" s="2090"/>
      <c r="G135" s="2090"/>
      <c r="H135" s="2090"/>
      <c r="I135" s="2090"/>
      <c r="J135" s="2090"/>
      <c r="K135" s="2090"/>
      <c r="L135" s="2090"/>
      <c r="M135" s="2090"/>
      <c r="N135" s="2090"/>
      <c r="O135" s="2090"/>
      <c r="P135" s="2090"/>
      <c r="Q135" s="2090"/>
      <c r="R135" s="2090"/>
      <c r="S135" s="2090"/>
      <c r="T135" s="2090"/>
      <c r="U135" s="2090"/>
      <c r="V135" s="2090"/>
      <c r="W135" s="2090"/>
      <c r="X135" s="2090"/>
      <c r="Y135" s="2090"/>
      <c r="Z135" s="2090"/>
      <c r="AA135" s="2090"/>
      <c r="AB135" s="2090"/>
      <c r="AC135" s="2090"/>
      <c r="AD135" s="2090"/>
      <c r="AE135" s="2090"/>
      <c r="AF135" s="2090"/>
      <c r="AG135" s="2091"/>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089" t="s">
        <v>2294</v>
      </c>
      <c r="C136" s="2090"/>
      <c r="D136" s="2090"/>
      <c r="E136" s="2090"/>
      <c r="F136" s="2090"/>
      <c r="G136" s="2090"/>
      <c r="H136" s="2090"/>
      <c r="I136" s="2090"/>
      <c r="J136" s="2090"/>
      <c r="K136" s="2090"/>
      <c r="L136" s="2090"/>
      <c r="M136" s="2090"/>
      <c r="N136" s="2090"/>
      <c r="O136" s="2090"/>
      <c r="P136" s="2090"/>
      <c r="Q136" s="2090"/>
      <c r="R136" s="2090"/>
      <c r="S136" s="2090"/>
      <c r="T136" s="2090"/>
      <c r="U136" s="2090"/>
      <c r="V136" s="2090"/>
      <c r="W136" s="2090"/>
      <c r="X136" s="2090"/>
      <c r="Y136" s="2090"/>
      <c r="Z136" s="2090"/>
      <c r="AA136" s="2090"/>
      <c r="AB136" s="2090"/>
      <c r="AC136" s="2090"/>
      <c r="AD136" s="2090"/>
      <c r="AE136" s="2090"/>
      <c r="AF136" s="2090"/>
      <c r="AG136" s="2091"/>
      <c r="AH136" s="2092" t="s">
        <v>544</v>
      </c>
      <c r="AI136" s="2092"/>
      <c r="AJ136" s="2092"/>
      <c r="AK136" s="2092"/>
      <c r="AL136" s="2092"/>
      <c r="AM136" s="2092"/>
      <c r="AN136" s="2092"/>
      <c r="AO136" s="2092"/>
      <c r="AP136" s="2092"/>
      <c r="AQ136" s="2092"/>
      <c r="AR136" s="2092"/>
      <c r="AS136" s="2092"/>
      <c r="AT136" s="2092"/>
      <c r="AU136" s="2092"/>
      <c r="AV136" s="2092"/>
      <c r="AW136" s="2092"/>
      <c r="AX136" s="2093"/>
      <c r="AY136" s="1208"/>
      <c r="AZ136" s="1208"/>
      <c r="BA136" s="1208"/>
      <c r="BB136" s="1208"/>
      <c r="BC136" s="1208"/>
      <c r="BD136" s="1208"/>
      <c r="BE136" s="1215"/>
    </row>
    <row r="137" spans="1:57" ht="15.75" customHeight="1">
      <c r="A137" s="1208"/>
      <c r="B137" s="2094" t="s">
        <v>2293</v>
      </c>
      <c r="C137" s="2095"/>
      <c r="D137" s="2095"/>
      <c r="E137" s="2095"/>
      <c r="F137" s="2095"/>
      <c r="G137" s="2095"/>
      <c r="H137" s="2095"/>
      <c r="I137" s="2095"/>
      <c r="J137" s="2095"/>
      <c r="K137" s="2095"/>
      <c r="L137" s="2095"/>
      <c r="M137" s="2095"/>
      <c r="N137" s="2095"/>
      <c r="O137" s="2095"/>
      <c r="P137" s="2095"/>
      <c r="Q137" s="2095"/>
      <c r="R137" s="2096" t="s">
        <v>2292</v>
      </c>
      <c r="S137" s="2096"/>
      <c r="T137" s="2096"/>
      <c r="U137" s="2096"/>
      <c r="V137" s="2096"/>
      <c r="W137" s="2096"/>
      <c r="X137" s="2096"/>
      <c r="Y137" s="2096"/>
      <c r="Z137" s="2096"/>
      <c r="AA137" s="2096"/>
      <c r="AB137" s="2096"/>
      <c r="AC137" s="2096"/>
      <c r="AD137" s="2096"/>
      <c r="AE137" s="2096"/>
      <c r="AF137" s="2096"/>
      <c r="AG137" s="2096"/>
      <c r="AH137" s="2096"/>
      <c r="AI137" s="2096"/>
      <c r="AJ137" s="2096"/>
      <c r="AK137" s="2096"/>
      <c r="AL137" s="2096"/>
      <c r="AM137" s="2096"/>
      <c r="AN137" s="2096"/>
      <c r="AO137" s="2096"/>
      <c r="AP137" s="2096"/>
      <c r="AQ137" s="2096"/>
      <c r="AR137" s="2096"/>
      <c r="AS137" s="2096"/>
      <c r="AT137" s="2096"/>
      <c r="AU137" s="2096"/>
      <c r="AV137" s="2096"/>
      <c r="AW137" s="2096"/>
      <c r="AX137" s="2097"/>
      <c r="AY137" s="1208"/>
      <c r="AZ137" s="1208"/>
      <c r="BA137" s="1208"/>
      <c r="BB137" s="1208"/>
      <c r="BC137" s="1208" t="s">
        <v>250</v>
      </c>
      <c r="BD137" s="1208"/>
      <c r="BE137" s="1215"/>
    </row>
    <row r="138" spans="1:57" ht="15.75" customHeight="1">
      <c r="A138" s="1208"/>
      <c r="B138" s="2098" t="s">
        <v>2291</v>
      </c>
      <c r="C138" s="2099"/>
      <c r="D138" s="2099"/>
      <c r="E138" s="2099"/>
      <c r="F138" s="2099"/>
      <c r="G138" s="2099"/>
      <c r="H138" s="2099"/>
      <c r="I138" s="2099"/>
      <c r="J138" s="2099"/>
      <c r="K138" s="2099"/>
      <c r="L138" s="2099"/>
      <c r="M138" s="2099"/>
      <c r="N138" s="2099"/>
      <c r="O138" s="2099"/>
      <c r="P138" s="2099"/>
      <c r="Q138" s="2099"/>
      <c r="R138" s="2099"/>
      <c r="S138" s="2099"/>
      <c r="T138" s="2099"/>
      <c r="U138" s="2099"/>
      <c r="V138" s="2099"/>
      <c r="W138" s="2099"/>
      <c r="X138" s="2099"/>
      <c r="Y138" s="2099"/>
      <c r="Z138" s="2099"/>
      <c r="AA138" s="2099"/>
      <c r="AB138" s="2099"/>
      <c r="AC138" s="2099"/>
      <c r="AD138" s="2099"/>
      <c r="AE138" s="2099"/>
      <c r="AF138" s="2099"/>
      <c r="AG138" s="2099"/>
      <c r="AH138" s="2099"/>
      <c r="AI138" s="2099"/>
      <c r="AJ138" s="2099"/>
      <c r="AK138" s="2099"/>
      <c r="AL138" s="2099"/>
      <c r="AM138" s="2099"/>
      <c r="AN138" s="2099"/>
      <c r="AO138" s="2099"/>
      <c r="AP138" s="2099"/>
      <c r="AQ138" s="2099"/>
      <c r="AR138" s="2099"/>
      <c r="AS138" s="2099"/>
      <c r="AT138" s="2099"/>
      <c r="AU138" s="2099"/>
      <c r="AV138" s="2099"/>
      <c r="AW138" s="2099"/>
      <c r="AX138" s="2100"/>
      <c r="AY138" s="1208"/>
      <c r="AZ138" s="1208"/>
      <c r="BA138" s="1208"/>
      <c r="BB138" s="1208"/>
      <c r="BC138" s="1208"/>
      <c r="BD138" s="1208"/>
      <c r="BE138" s="1215"/>
    </row>
    <row r="139" spans="1:57" ht="15.75" customHeight="1">
      <c r="A139" s="1208"/>
      <c r="B139" s="2098"/>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99"/>
      <c r="AI139" s="2099"/>
      <c r="AJ139" s="2099"/>
      <c r="AK139" s="2099"/>
      <c r="AL139" s="2099"/>
      <c r="AM139" s="2099"/>
      <c r="AN139" s="2099"/>
      <c r="AO139" s="2099"/>
      <c r="AP139" s="2099"/>
      <c r="AQ139" s="2099"/>
      <c r="AR139" s="2099"/>
      <c r="AS139" s="2099"/>
      <c r="AT139" s="2099"/>
      <c r="AU139" s="2099"/>
      <c r="AV139" s="2099"/>
      <c r="AW139" s="2099"/>
      <c r="AX139" s="2100"/>
      <c r="AY139" s="1208"/>
      <c r="AZ139" s="1208"/>
      <c r="BA139" s="1208"/>
      <c r="BB139" s="1208"/>
      <c r="BC139" s="1208"/>
      <c r="BD139" s="1208"/>
      <c r="BE139" s="1215"/>
    </row>
    <row r="140" spans="1:57" ht="15.75" customHeight="1">
      <c r="A140" s="1208"/>
      <c r="B140" s="2098"/>
      <c r="C140" s="2099"/>
      <c r="D140" s="2099"/>
      <c r="E140" s="2099"/>
      <c r="F140" s="2099"/>
      <c r="G140" s="2099"/>
      <c r="H140" s="2099"/>
      <c r="I140" s="2099"/>
      <c r="J140" s="2099"/>
      <c r="K140" s="2099"/>
      <c r="L140" s="2099"/>
      <c r="M140" s="2099"/>
      <c r="N140" s="2099"/>
      <c r="O140" s="2099"/>
      <c r="P140" s="2099"/>
      <c r="Q140" s="2099"/>
      <c r="R140" s="2099"/>
      <c r="S140" s="2099"/>
      <c r="T140" s="2099"/>
      <c r="U140" s="2099"/>
      <c r="V140" s="2099"/>
      <c r="W140" s="2099"/>
      <c r="X140" s="2099"/>
      <c r="Y140" s="2099"/>
      <c r="Z140" s="2099"/>
      <c r="AA140" s="2099"/>
      <c r="AB140" s="2099"/>
      <c r="AC140" s="2099"/>
      <c r="AD140" s="2099"/>
      <c r="AE140" s="2099"/>
      <c r="AF140" s="2099"/>
      <c r="AG140" s="2099"/>
      <c r="AH140" s="2099"/>
      <c r="AI140" s="2099"/>
      <c r="AJ140" s="2099"/>
      <c r="AK140" s="2099"/>
      <c r="AL140" s="2099"/>
      <c r="AM140" s="2099"/>
      <c r="AN140" s="2099"/>
      <c r="AO140" s="2099"/>
      <c r="AP140" s="2099"/>
      <c r="AQ140" s="2099"/>
      <c r="AR140" s="2099"/>
      <c r="AS140" s="2099"/>
      <c r="AT140" s="2099"/>
      <c r="AU140" s="2099"/>
      <c r="AV140" s="2099"/>
      <c r="AW140" s="2099"/>
      <c r="AX140" s="2100"/>
      <c r="AY140" s="1208"/>
      <c r="AZ140" s="1208"/>
      <c r="BA140" s="1208"/>
      <c r="BB140" s="1208"/>
      <c r="BC140" s="1208"/>
      <c r="BD140" s="1208"/>
      <c r="BE140" s="1215"/>
    </row>
    <row r="141" spans="1:57" ht="15.75" customHeight="1">
      <c r="A141" s="1208"/>
      <c r="B141" s="2098"/>
      <c r="C141" s="2099"/>
      <c r="D141" s="2099"/>
      <c r="E141" s="2099"/>
      <c r="F141" s="2099"/>
      <c r="G141" s="2099"/>
      <c r="H141" s="2099"/>
      <c r="I141" s="2099"/>
      <c r="J141" s="2099"/>
      <c r="K141" s="2099"/>
      <c r="L141" s="2099"/>
      <c r="M141" s="2099"/>
      <c r="N141" s="2099"/>
      <c r="O141" s="2099"/>
      <c r="P141" s="2099"/>
      <c r="Q141" s="2099"/>
      <c r="R141" s="2099"/>
      <c r="S141" s="2099"/>
      <c r="T141" s="2099"/>
      <c r="U141" s="2099"/>
      <c r="V141" s="2099"/>
      <c r="W141" s="2099"/>
      <c r="X141" s="2099"/>
      <c r="Y141" s="2099"/>
      <c r="Z141" s="2099"/>
      <c r="AA141" s="2099"/>
      <c r="AB141" s="2099"/>
      <c r="AC141" s="2099"/>
      <c r="AD141" s="2099"/>
      <c r="AE141" s="2099"/>
      <c r="AF141" s="2099"/>
      <c r="AG141" s="2099"/>
      <c r="AH141" s="2099"/>
      <c r="AI141" s="2099"/>
      <c r="AJ141" s="2099"/>
      <c r="AK141" s="2099"/>
      <c r="AL141" s="2099"/>
      <c r="AM141" s="2099"/>
      <c r="AN141" s="2099"/>
      <c r="AO141" s="2099"/>
      <c r="AP141" s="2099"/>
      <c r="AQ141" s="2099"/>
      <c r="AR141" s="2099"/>
      <c r="AS141" s="2099"/>
      <c r="AT141" s="2099"/>
      <c r="AU141" s="2099"/>
      <c r="AV141" s="2099"/>
      <c r="AW141" s="2099"/>
      <c r="AX141" s="2100"/>
      <c r="AY141" s="1208"/>
      <c r="AZ141" s="1208"/>
      <c r="BA141" s="1208"/>
      <c r="BB141" s="1208"/>
      <c r="BC141" s="1208"/>
      <c r="BD141" s="1208"/>
      <c r="BE141" s="1215"/>
    </row>
    <row r="142" spans="1:57" ht="15.75" customHeight="1">
      <c r="A142" s="1208"/>
      <c r="B142" s="2098"/>
      <c r="C142" s="2099"/>
      <c r="D142" s="2099"/>
      <c r="E142" s="2099"/>
      <c r="F142" s="2099"/>
      <c r="G142" s="2099"/>
      <c r="H142" s="2099"/>
      <c r="I142" s="2099"/>
      <c r="J142" s="2099"/>
      <c r="K142" s="2099"/>
      <c r="L142" s="2099"/>
      <c r="M142" s="2099"/>
      <c r="N142" s="2099"/>
      <c r="O142" s="2099"/>
      <c r="P142" s="2099"/>
      <c r="Q142" s="2099"/>
      <c r="R142" s="2099"/>
      <c r="S142" s="2099"/>
      <c r="T142" s="2099"/>
      <c r="U142" s="2099"/>
      <c r="V142" s="2099"/>
      <c r="W142" s="2099"/>
      <c r="X142" s="2099"/>
      <c r="Y142" s="2099"/>
      <c r="Z142" s="2099"/>
      <c r="AA142" s="2099"/>
      <c r="AB142" s="2099"/>
      <c r="AC142" s="2099"/>
      <c r="AD142" s="2099"/>
      <c r="AE142" s="2099"/>
      <c r="AF142" s="2099"/>
      <c r="AG142" s="2099"/>
      <c r="AH142" s="2099"/>
      <c r="AI142" s="2099"/>
      <c r="AJ142" s="2099"/>
      <c r="AK142" s="2099"/>
      <c r="AL142" s="2099"/>
      <c r="AM142" s="2099"/>
      <c r="AN142" s="2099"/>
      <c r="AO142" s="2099"/>
      <c r="AP142" s="2099"/>
      <c r="AQ142" s="2099"/>
      <c r="AR142" s="2099"/>
      <c r="AS142" s="2099"/>
      <c r="AT142" s="2099"/>
      <c r="AU142" s="2099"/>
      <c r="AV142" s="2099"/>
      <c r="AW142" s="2099"/>
      <c r="AX142" s="2100"/>
      <c r="AY142" s="1208"/>
      <c r="AZ142" s="1208"/>
      <c r="BA142" s="1208"/>
      <c r="BB142" s="1208"/>
      <c r="BC142" s="1208"/>
      <c r="BD142" s="1208"/>
      <c r="BE142" s="1215"/>
    </row>
    <row r="143" spans="1:57" ht="15.75" customHeight="1">
      <c r="A143" s="1208"/>
      <c r="B143" s="2098"/>
      <c r="C143" s="2099"/>
      <c r="D143" s="2099"/>
      <c r="E143" s="2099"/>
      <c r="F143" s="2099"/>
      <c r="G143" s="2099"/>
      <c r="H143" s="2099"/>
      <c r="I143" s="2099"/>
      <c r="J143" s="2099"/>
      <c r="K143" s="2099"/>
      <c r="L143" s="2099"/>
      <c r="M143" s="2099"/>
      <c r="N143" s="2099"/>
      <c r="O143" s="2099"/>
      <c r="P143" s="2099"/>
      <c r="Q143" s="2099"/>
      <c r="R143" s="2099"/>
      <c r="S143" s="2099"/>
      <c r="T143" s="2099"/>
      <c r="U143" s="2099"/>
      <c r="V143" s="2099"/>
      <c r="W143" s="2099"/>
      <c r="X143" s="2099"/>
      <c r="Y143" s="2099"/>
      <c r="Z143" s="2099"/>
      <c r="AA143" s="2099"/>
      <c r="AB143" s="2099"/>
      <c r="AC143" s="2099"/>
      <c r="AD143" s="2099"/>
      <c r="AE143" s="2099"/>
      <c r="AF143" s="2099"/>
      <c r="AG143" s="2099"/>
      <c r="AH143" s="2099"/>
      <c r="AI143" s="2099"/>
      <c r="AJ143" s="2099"/>
      <c r="AK143" s="2099"/>
      <c r="AL143" s="2099"/>
      <c r="AM143" s="2099"/>
      <c r="AN143" s="2099"/>
      <c r="AO143" s="2099"/>
      <c r="AP143" s="2099"/>
      <c r="AQ143" s="2099"/>
      <c r="AR143" s="2099"/>
      <c r="AS143" s="2099"/>
      <c r="AT143" s="2099"/>
      <c r="AU143" s="2099"/>
      <c r="AV143" s="2099"/>
      <c r="AW143" s="2099"/>
      <c r="AX143" s="2100"/>
      <c r="AY143" s="1208"/>
      <c r="AZ143" s="1208"/>
      <c r="BA143" s="1208"/>
      <c r="BB143" s="1208"/>
      <c r="BC143" s="1208"/>
      <c r="BD143" s="1208"/>
      <c r="BE143" s="1215"/>
    </row>
    <row r="144" spans="1:57" ht="15.75" customHeight="1">
      <c r="A144" s="1208"/>
      <c r="B144" s="2098"/>
      <c r="C144" s="2099"/>
      <c r="D144" s="2099"/>
      <c r="E144" s="2099"/>
      <c r="F144" s="2099"/>
      <c r="G144" s="2099"/>
      <c r="H144" s="2099"/>
      <c r="I144" s="2099"/>
      <c r="J144" s="2099"/>
      <c r="K144" s="2099"/>
      <c r="L144" s="2099"/>
      <c r="M144" s="2099"/>
      <c r="N144" s="2099"/>
      <c r="O144" s="2099"/>
      <c r="P144" s="2099"/>
      <c r="Q144" s="2099"/>
      <c r="R144" s="2099"/>
      <c r="S144" s="2099"/>
      <c r="T144" s="2099"/>
      <c r="U144" s="2099"/>
      <c r="V144" s="2099"/>
      <c r="W144" s="2099"/>
      <c r="X144" s="2099"/>
      <c r="Y144" s="2099"/>
      <c r="Z144" s="2099"/>
      <c r="AA144" s="2099"/>
      <c r="AB144" s="2099"/>
      <c r="AC144" s="2099"/>
      <c r="AD144" s="2099"/>
      <c r="AE144" s="2099"/>
      <c r="AF144" s="2099"/>
      <c r="AG144" s="2099"/>
      <c r="AH144" s="2099"/>
      <c r="AI144" s="2099"/>
      <c r="AJ144" s="2099"/>
      <c r="AK144" s="2099"/>
      <c r="AL144" s="2099"/>
      <c r="AM144" s="2099"/>
      <c r="AN144" s="2099"/>
      <c r="AO144" s="2099"/>
      <c r="AP144" s="2099"/>
      <c r="AQ144" s="2099"/>
      <c r="AR144" s="2099"/>
      <c r="AS144" s="2099"/>
      <c r="AT144" s="2099"/>
      <c r="AU144" s="2099"/>
      <c r="AV144" s="2099"/>
      <c r="AW144" s="2099"/>
      <c r="AX144" s="2100"/>
      <c r="AY144" s="1208"/>
      <c r="AZ144" s="1208"/>
      <c r="BA144" s="1208"/>
      <c r="BB144" s="1208"/>
      <c r="BC144" s="1208"/>
      <c r="BD144" s="1208"/>
      <c r="BE144" s="1215"/>
    </row>
    <row r="145" spans="1:57" ht="15.75" customHeight="1">
      <c r="A145" s="1208"/>
      <c r="B145" s="2098"/>
      <c r="C145" s="2099"/>
      <c r="D145" s="2099"/>
      <c r="E145" s="2099"/>
      <c r="F145" s="2099"/>
      <c r="G145" s="2099"/>
      <c r="H145" s="2099"/>
      <c r="I145" s="2099"/>
      <c r="J145" s="2099"/>
      <c r="K145" s="2099"/>
      <c r="L145" s="2099"/>
      <c r="M145" s="2099"/>
      <c r="N145" s="2099"/>
      <c r="O145" s="2099"/>
      <c r="P145" s="2099"/>
      <c r="Q145" s="2099"/>
      <c r="R145" s="2099"/>
      <c r="S145" s="2099"/>
      <c r="T145" s="2099"/>
      <c r="U145" s="2099"/>
      <c r="V145" s="2099"/>
      <c r="W145" s="2099"/>
      <c r="X145" s="2099"/>
      <c r="Y145" s="2099"/>
      <c r="Z145" s="2099"/>
      <c r="AA145" s="2099"/>
      <c r="AB145" s="2099"/>
      <c r="AC145" s="2099"/>
      <c r="AD145" s="2099"/>
      <c r="AE145" s="2099"/>
      <c r="AF145" s="2099"/>
      <c r="AG145" s="2099"/>
      <c r="AH145" s="2099"/>
      <c r="AI145" s="2099"/>
      <c r="AJ145" s="2099"/>
      <c r="AK145" s="2099"/>
      <c r="AL145" s="2099"/>
      <c r="AM145" s="2099"/>
      <c r="AN145" s="2099"/>
      <c r="AO145" s="2099"/>
      <c r="AP145" s="2099"/>
      <c r="AQ145" s="2099"/>
      <c r="AR145" s="2099"/>
      <c r="AS145" s="2099"/>
      <c r="AT145" s="2099"/>
      <c r="AU145" s="2099"/>
      <c r="AV145" s="2099"/>
      <c r="AW145" s="2099"/>
      <c r="AX145" s="2100"/>
      <c r="AY145" s="1208"/>
      <c r="AZ145" s="1208"/>
      <c r="BA145" s="1208"/>
      <c r="BB145" s="1208"/>
      <c r="BC145" s="1208"/>
      <c r="BD145" s="1208"/>
      <c r="BE145" s="1215"/>
    </row>
    <row r="146" spans="1:57" ht="15.75" customHeight="1">
      <c r="A146" s="1208"/>
      <c r="B146" s="2098"/>
      <c r="C146" s="2099"/>
      <c r="D146" s="2099"/>
      <c r="E146" s="2099"/>
      <c r="F146" s="2099"/>
      <c r="G146" s="2099"/>
      <c r="H146" s="2099"/>
      <c r="I146" s="2099"/>
      <c r="J146" s="2099"/>
      <c r="K146" s="2099"/>
      <c r="L146" s="2099"/>
      <c r="M146" s="2099"/>
      <c r="N146" s="2099"/>
      <c r="O146" s="2099"/>
      <c r="P146" s="2099"/>
      <c r="Q146" s="2099"/>
      <c r="R146" s="2099"/>
      <c r="S146" s="2099"/>
      <c r="T146" s="2099"/>
      <c r="U146" s="2099"/>
      <c r="V146" s="2099"/>
      <c r="W146" s="2099"/>
      <c r="X146" s="2099"/>
      <c r="Y146" s="2099"/>
      <c r="Z146" s="2099"/>
      <c r="AA146" s="2099"/>
      <c r="AB146" s="2099"/>
      <c r="AC146" s="2099"/>
      <c r="AD146" s="2099"/>
      <c r="AE146" s="2099"/>
      <c r="AF146" s="2099"/>
      <c r="AG146" s="2099"/>
      <c r="AH146" s="2099"/>
      <c r="AI146" s="2099"/>
      <c r="AJ146" s="2099"/>
      <c r="AK146" s="2099"/>
      <c r="AL146" s="2099"/>
      <c r="AM146" s="2099"/>
      <c r="AN146" s="2099"/>
      <c r="AO146" s="2099"/>
      <c r="AP146" s="2099"/>
      <c r="AQ146" s="2099"/>
      <c r="AR146" s="2099"/>
      <c r="AS146" s="2099"/>
      <c r="AT146" s="2099"/>
      <c r="AU146" s="2099"/>
      <c r="AV146" s="2099"/>
      <c r="AW146" s="2099"/>
      <c r="AX146" s="2100"/>
      <c r="AY146" s="1208"/>
      <c r="AZ146" s="1208"/>
      <c r="BA146" s="1208"/>
      <c r="BB146" s="1208"/>
      <c r="BC146" s="1208"/>
      <c r="BD146" s="1208"/>
      <c r="BE146" s="1215"/>
    </row>
    <row r="147" spans="1:57" ht="15.75" customHeight="1" thickBot="1">
      <c r="A147" s="1208"/>
      <c r="B147" s="2101"/>
      <c r="C147" s="2102"/>
      <c r="D147" s="2102"/>
      <c r="E147" s="2102"/>
      <c r="F147" s="2102"/>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c r="AN147" s="2102"/>
      <c r="AO147" s="2102"/>
      <c r="AP147" s="2102"/>
      <c r="AQ147" s="2102"/>
      <c r="AR147" s="2102"/>
      <c r="AS147" s="2102"/>
      <c r="AT147" s="2102"/>
      <c r="AU147" s="2102"/>
      <c r="AV147" s="2102"/>
      <c r="AW147" s="2102"/>
      <c r="AX147" s="210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1" t="s">
        <v>2288</v>
      </c>
      <c r="C151" s="2037"/>
      <c r="D151" s="2037"/>
      <c r="E151" s="2037"/>
      <c r="F151" s="2037"/>
      <c r="G151" s="2037"/>
      <c r="H151" s="2037"/>
      <c r="I151" s="2037"/>
      <c r="J151" s="2037"/>
      <c r="K151" s="2037"/>
      <c r="L151" s="2037"/>
      <c r="M151" s="2037"/>
      <c r="N151" s="2037"/>
      <c r="O151" s="2037"/>
      <c r="P151" s="2037"/>
      <c r="Q151" s="2037"/>
      <c r="R151" s="2037"/>
      <c r="S151" s="2037"/>
      <c r="T151" s="2037"/>
      <c r="U151" s="2038"/>
      <c r="V151" s="1208"/>
      <c r="W151" s="1209"/>
      <c r="X151" s="2081" t="s">
        <v>2287</v>
      </c>
      <c r="Y151" s="2037"/>
      <c r="Z151" s="2037"/>
      <c r="AA151" s="2037"/>
      <c r="AB151" s="2037"/>
      <c r="AC151" s="2037"/>
      <c r="AD151" s="2037"/>
      <c r="AE151" s="2037"/>
      <c r="AF151" s="2037"/>
      <c r="AG151" s="2037"/>
      <c r="AH151" s="2037"/>
      <c r="AI151" s="2037"/>
      <c r="AJ151" s="2037"/>
      <c r="AK151" s="2037"/>
      <c r="AL151" s="2037"/>
      <c r="AM151" s="2037"/>
      <c r="AN151" s="2037"/>
      <c r="AO151" s="2037"/>
      <c r="AP151" s="2037"/>
      <c r="AQ151" s="2038"/>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9"/>
      <c r="C152" s="2050"/>
      <c r="D152" s="2050"/>
      <c r="E152" s="2050"/>
      <c r="F152" s="2050"/>
      <c r="G152" s="2050"/>
      <c r="H152" s="2050"/>
      <c r="I152" s="2087" t="s">
        <v>2285</v>
      </c>
      <c r="J152" s="2087"/>
      <c r="K152" s="2087"/>
      <c r="L152" s="2087"/>
      <c r="M152" s="2087"/>
      <c r="N152" s="2087"/>
      <c r="O152" s="2087"/>
      <c r="P152" s="2087" t="s">
        <v>2286</v>
      </c>
      <c r="Q152" s="2087"/>
      <c r="R152" s="2087"/>
      <c r="S152" s="2087"/>
      <c r="T152" s="2087"/>
      <c r="U152" s="2088"/>
      <c r="V152" s="1208"/>
      <c r="W152" s="1208"/>
      <c r="X152" s="2049"/>
      <c r="Y152" s="2050"/>
      <c r="Z152" s="2050"/>
      <c r="AA152" s="2050"/>
      <c r="AB152" s="2050"/>
      <c r="AC152" s="2050"/>
      <c r="AD152" s="2050"/>
      <c r="AE152" s="2087" t="s">
        <v>2285</v>
      </c>
      <c r="AF152" s="2087"/>
      <c r="AG152" s="2087"/>
      <c r="AH152" s="2087"/>
      <c r="AI152" s="2087"/>
      <c r="AJ152" s="2087"/>
      <c r="AK152" s="2087"/>
      <c r="AL152" s="2087" t="s">
        <v>2284</v>
      </c>
      <c r="AM152" s="2087"/>
      <c r="AN152" s="2087"/>
      <c r="AO152" s="2087"/>
      <c r="AP152" s="2087"/>
      <c r="AQ152" s="2088"/>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9"/>
      <c r="C153" s="2050"/>
      <c r="D153" s="2050"/>
      <c r="E153" s="2050"/>
      <c r="F153" s="2050"/>
      <c r="G153" s="2050"/>
      <c r="H153" s="2050"/>
      <c r="I153" s="2087"/>
      <c r="J153" s="2087"/>
      <c r="K153" s="2087"/>
      <c r="L153" s="2087"/>
      <c r="M153" s="2087"/>
      <c r="N153" s="2087"/>
      <c r="O153" s="2087"/>
      <c r="P153" s="2087"/>
      <c r="Q153" s="2087"/>
      <c r="R153" s="2087"/>
      <c r="S153" s="2087"/>
      <c r="T153" s="2087"/>
      <c r="U153" s="2088"/>
      <c r="V153" s="1208"/>
      <c r="W153" s="1208"/>
      <c r="X153" s="2049"/>
      <c r="Y153" s="2050"/>
      <c r="Z153" s="2050"/>
      <c r="AA153" s="2050"/>
      <c r="AB153" s="2050"/>
      <c r="AC153" s="2050"/>
      <c r="AD153" s="2050"/>
      <c r="AE153" s="2087"/>
      <c r="AF153" s="2087"/>
      <c r="AG153" s="2087"/>
      <c r="AH153" s="2087"/>
      <c r="AI153" s="2087"/>
      <c r="AJ153" s="2087"/>
      <c r="AK153" s="2087"/>
      <c r="AL153" s="2087"/>
      <c r="AM153" s="2087"/>
      <c r="AN153" s="2087"/>
      <c r="AO153" s="2087"/>
      <c r="AP153" s="2087"/>
      <c r="AQ153" s="208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3" t="s">
        <v>2283</v>
      </c>
      <c r="C154" s="2084"/>
      <c r="D154" s="2084"/>
      <c r="E154" s="2084"/>
      <c r="F154" s="2084"/>
      <c r="G154" s="2084"/>
      <c r="H154" s="2084"/>
      <c r="I154" s="2085">
        <v>0</v>
      </c>
      <c r="J154" s="2085"/>
      <c r="K154" s="2085"/>
      <c r="L154" s="2085"/>
      <c r="M154" s="2085"/>
      <c r="N154" s="2085"/>
      <c r="O154" s="2085"/>
      <c r="P154" s="2085">
        <v>0</v>
      </c>
      <c r="Q154" s="2085"/>
      <c r="R154" s="2085"/>
      <c r="S154" s="2085"/>
      <c r="T154" s="2085"/>
      <c r="U154" s="2086"/>
      <c r="V154" s="1208"/>
      <c r="W154" s="1208"/>
      <c r="X154" s="2077" t="s">
        <v>2283</v>
      </c>
      <c r="Y154" s="2078"/>
      <c r="Z154" s="2078"/>
      <c r="AA154" s="2078"/>
      <c r="AB154" s="2078"/>
      <c r="AC154" s="2078"/>
      <c r="AD154" s="2078"/>
      <c r="AE154" s="2079">
        <v>0</v>
      </c>
      <c r="AF154" s="2079"/>
      <c r="AG154" s="2079"/>
      <c r="AH154" s="2079"/>
      <c r="AI154" s="2079"/>
      <c r="AJ154" s="2079"/>
      <c r="AK154" s="2079"/>
      <c r="AL154" s="2079">
        <v>0</v>
      </c>
      <c r="AM154" s="2079"/>
      <c r="AN154" s="2079"/>
      <c r="AO154" s="2079"/>
      <c r="AP154" s="2079"/>
      <c r="AQ154" s="208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7" t="s">
        <v>2282</v>
      </c>
      <c r="C155" s="2078"/>
      <c r="D155" s="2078"/>
      <c r="E155" s="2078"/>
      <c r="F155" s="2078"/>
      <c r="G155" s="2078"/>
      <c r="H155" s="2078"/>
      <c r="I155" s="2079">
        <v>0</v>
      </c>
      <c r="J155" s="2079"/>
      <c r="K155" s="2079"/>
      <c r="L155" s="2079"/>
      <c r="M155" s="2079"/>
      <c r="N155" s="2079"/>
      <c r="O155" s="2079"/>
      <c r="P155" s="2079">
        <v>0</v>
      </c>
      <c r="Q155" s="2079"/>
      <c r="R155" s="2079"/>
      <c r="S155" s="2079"/>
      <c r="T155" s="2079"/>
      <c r="U155" s="208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1" t="s">
        <v>2281</v>
      </c>
      <c r="D157" s="2037"/>
      <c r="E157" s="2037"/>
      <c r="F157" s="2037"/>
      <c r="G157" s="2037"/>
      <c r="H157" s="2037"/>
      <c r="I157" s="2037"/>
      <c r="J157" s="2037"/>
      <c r="K157" s="2037"/>
      <c r="L157" s="2037"/>
      <c r="M157" s="2037"/>
      <c r="N157" s="2037"/>
      <c r="O157" s="2037"/>
      <c r="P157" s="2037"/>
      <c r="Q157" s="2037"/>
      <c r="R157" s="2037"/>
      <c r="S157" s="2037"/>
      <c r="T157" s="2037"/>
      <c r="U157" s="2037"/>
      <c r="V157" s="2037"/>
      <c r="W157" s="2037"/>
      <c r="X157" s="2037"/>
      <c r="Y157" s="2037"/>
      <c r="Z157" s="2037"/>
      <c r="AA157" s="2037"/>
      <c r="AB157" s="2037"/>
      <c r="AC157" s="2037"/>
      <c r="AD157" s="2037"/>
      <c r="AE157" s="2037"/>
      <c r="AF157" s="2037"/>
      <c r="AG157" s="203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9" t="s">
        <v>2266</v>
      </c>
      <c r="D158" s="2050"/>
      <c r="E158" s="2050"/>
      <c r="F158" s="2050"/>
      <c r="G158" s="2050"/>
      <c r="H158" s="2050"/>
      <c r="I158" s="2050"/>
      <c r="J158" s="2050"/>
      <c r="K158" s="2050"/>
      <c r="L158" s="2050"/>
      <c r="M158" s="2050"/>
      <c r="N158" s="2050"/>
      <c r="O158" s="2050"/>
      <c r="P158" s="2050"/>
      <c r="Q158" s="2050" t="s">
        <v>2280</v>
      </c>
      <c r="R158" s="2050"/>
      <c r="S158" s="2050"/>
      <c r="T158" s="2082" t="s">
        <v>2279</v>
      </c>
      <c r="U158" s="2082"/>
      <c r="V158" s="2082"/>
      <c r="W158" s="2082"/>
      <c r="X158" s="2082"/>
      <c r="Y158" s="2082"/>
      <c r="Z158" s="2082"/>
      <c r="AA158" s="2082"/>
      <c r="AB158" s="2050" t="s">
        <v>2278</v>
      </c>
      <c r="AC158" s="2050"/>
      <c r="AD158" s="2050"/>
      <c r="AE158" s="2050"/>
      <c r="AF158" s="2050"/>
      <c r="AG158" s="205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4" t="s">
        <v>2277</v>
      </c>
      <c r="D159" s="2065"/>
      <c r="E159" s="2065"/>
      <c r="F159" s="2065"/>
      <c r="G159" s="2065"/>
      <c r="H159" s="2065"/>
      <c r="I159" s="2065"/>
      <c r="J159" s="2065"/>
      <c r="K159" s="2065"/>
      <c r="L159" s="2065"/>
      <c r="M159" s="2065"/>
      <c r="N159" s="2065"/>
      <c r="O159" s="2065"/>
      <c r="P159" s="2065"/>
      <c r="Q159" s="2007">
        <v>55</v>
      </c>
      <c r="R159" s="2007"/>
      <c r="S159" s="2007"/>
      <c r="T159" s="2058"/>
      <c r="U159" s="2058"/>
      <c r="V159" s="2058"/>
      <c r="W159" s="2058"/>
      <c r="X159" s="2058"/>
      <c r="Y159" s="2058"/>
      <c r="Z159" s="2058"/>
      <c r="AA159" s="20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4" t="s">
        <v>2276</v>
      </c>
      <c r="D160" s="2065"/>
      <c r="E160" s="2065"/>
      <c r="F160" s="2065"/>
      <c r="G160" s="2065"/>
      <c r="H160" s="2065"/>
      <c r="I160" s="2065"/>
      <c r="J160" s="2065"/>
      <c r="K160" s="2065"/>
      <c r="L160" s="2065"/>
      <c r="M160" s="2065"/>
      <c r="N160" s="2065"/>
      <c r="O160" s="2065"/>
      <c r="P160" s="2065"/>
      <c r="Q160" s="2007">
        <v>55</v>
      </c>
      <c r="R160" s="2007"/>
      <c r="S160" s="2007"/>
      <c r="T160" s="2067"/>
      <c r="U160" s="2067"/>
      <c r="V160" s="2067"/>
      <c r="W160" s="2067"/>
      <c r="X160" s="2067"/>
      <c r="Y160" s="2067"/>
      <c r="Z160" s="2067"/>
      <c r="AA160" s="206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4" t="s">
        <v>2275</v>
      </c>
      <c r="D161" s="2065"/>
      <c r="E161" s="2065"/>
      <c r="F161" s="2065"/>
      <c r="G161" s="2065"/>
      <c r="H161" s="2065"/>
      <c r="I161" s="2065"/>
      <c r="J161" s="2065"/>
      <c r="K161" s="2065"/>
      <c r="L161" s="2065"/>
      <c r="M161" s="2065"/>
      <c r="N161" s="2065"/>
      <c r="O161" s="2065"/>
      <c r="P161" s="2065"/>
      <c r="Q161" s="2007">
        <v>55</v>
      </c>
      <c r="R161" s="2007"/>
      <c r="S161" s="2007"/>
      <c r="T161" s="2058"/>
      <c r="U161" s="2058"/>
      <c r="V161" s="2058"/>
      <c r="W161" s="2058"/>
      <c r="X161" s="2058"/>
      <c r="Y161" s="2058"/>
      <c r="Z161" s="2058"/>
      <c r="AA161" s="20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4" t="s">
        <v>2274</v>
      </c>
      <c r="D162" s="2065"/>
      <c r="E162" s="2065"/>
      <c r="F162" s="2065"/>
      <c r="G162" s="2065"/>
      <c r="H162" s="2065"/>
      <c r="I162" s="2065"/>
      <c r="J162" s="2065"/>
      <c r="K162" s="2065"/>
      <c r="L162" s="2065"/>
      <c r="M162" s="2065"/>
      <c r="N162" s="2065"/>
      <c r="O162" s="2065"/>
      <c r="P162" s="2065"/>
      <c r="Q162" s="2007">
        <v>55</v>
      </c>
      <c r="R162" s="2007"/>
      <c r="S162" s="2007"/>
      <c r="T162" s="2058"/>
      <c r="U162" s="2058"/>
      <c r="V162" s="2058"/>
      <c r="W162" s="2058"/>
      <c r="X162" s="2058"/>
      <c r="Y162" s="2058"/>
      <c r="Z162" s="2058"/>
      <c r="AA162" s="2058"/>
      <c r="AB162" s="2068">
        <v>0</v>
      </c>
      <c r="AC162" s="2068"/>
      <c r="AD162" s="2068"/>
      <c r="AE162" s="2068"/>
      <c r="AF162" s="2068"/>
      <c r="AG162" s="206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4" t="s">
        <v>170</v>
      </c>
      <c r="D163" s="2065"/>
      <c r="E163" s="2065"/>
      <c r="F163" s="2066" t="s">
        <v>2255</v>
      </c>
      <c r="G163" s="2066"/>
      <c r="H163" s="2066"/>
      <c r="I163" s="2066"/>
      <c r="J163" s="2066"/>
      <c r="K163" s="2066"/>
      <c r="L163" s="2066"/>
      <c r="M163" s="2066"/>
      <c r="N163" s="2066"/>
      <c r="O163" s="2066"/>
      <c r="P163" s="2066"/>
      <c r="Q163" s="2007">
        <v>55</v>
      </c>
      <c r="R163" s="2007"/>
      <c r="S163" s="2007"/>
      <c r="T163" s="2067"/>
      <c r="U163" s="2067"/>
      <c r="V163" s="2067"/>
      <c r="W163" s="2067"/>
      <c r="X163" s="2067"/>
      <c r="Y163" s="2067"/>
      <c r="Z163" s="2067"/>
      <c r="AA163" s="2067"/>
      <c r="AB163" s="2068">
        <v>0</v>
      </c>
      <c r="AC163" s="2068"/>
      <c r="AD163" s="2068"/>
      <c r="AE163" s="2068"/>
      <c r="AF163" s="2068"/>
      <c r="AG163" s="206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4" t="s">
        <v>170</v>
      </c>
      <c r="D164" s="2065"/>
      <c r="E164" s="2065"/>
      <c r="F164" s="2066" t="s">
        <v>2255</v>
      </c>
      <c r="G164" s="2066"/>
      <c r="H164" s="2066"/>
      <c r="I164" s="2066"/>
      <c r="J164" s="2066"/>
      <c r="K164" s="2066"/>
      <c r="L164" s="2066"/>
      <c r="M164" s="2066"/>
      <c r="N164" s="2066"/>
      <c r="O164" s="2066"/>
      <c r="P164" s="2066"/>
      <c r="Q164" s="2007">
        <v>55</v>
      </c>
      <c r="R164" s="2007"/>
      <c r="S164" s="2007"/>
      <c r="T164" s="2067"/>
      <c r="U164" s="2067"/>
      <c r="V164" s="2067"/>
      <c r="W164" s="2067"/>
      <c r="X164" s="2067"/>
      <c r="Y164" s="2067"/>
      <c r="Z164" s="2067"/>
      <c r="AA164" s="2067"/>
      <c r="AB164" s="2068">
        <v>0</v>
      </c>
      <c r="AC164" s="2068"/>
      <c r="AD164" s="2068"/>
      <c r="AE164" s="2068"/>
      <c r="AF164" s="2068"/>
      <c r="AG164" s="2069"/>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0" t="s">
        <v>170</v>
      </c>
      <c r="D165" s="2071"/>
      <c r="E165" s="2071"/>
      <c r="F165" s="2072" t="s">
        <v>2255</v>
      </c>
      <c r="G165" s="2072"/>
      <c r="H165" s="2072"/>
      <c r="I165" s="2072"/>
      <c r="J165" s="2072"/>
      <c r="K165" s="2072"/>
      <c r="L165" s="2072"/>
      <c r="M165" s="2072"/>
      <c r="N165" s="2072"/>
      <c r="O165" s="2072"/>
      <c r="P165" s="2072"/>
      <c r="Q165" s="2073">
        <v>55</v>
      </c>
      <c r="R165" s="2073"/>
      <c r="S165" s="2073"/>
      <c r="T165" s="2074"/>
      <c r="U165" s="2074"/>
      <c r="V165" s="2074"/>
      <c r="W165" s="2074"/>
      <c r="X165" s="2074"/>
      <c r="Y165" s="2074"/>
      <c r="Z165" s="2074"/>
      <c r="AA165" s="2074"/>
      <c r="AB165" s="2075">
        <v>0</v>
      </c>
      <c r="AC165" s="2075"/>
      <c r="AD165" s="2075"/>
      <c r="AE165" s="2075"/>
      <c r="AF165" s="2075"/>
      <c r="AG165" s="207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5" t="s">
        <v>2273</v>
      </c>
      <c r="D167" s="2036"/>
      <c r="E167" s="2036"/>
      <c r="F167" s="2036"/>
      <c r="G167" s="2036"/>
      <c r="H167" s="2036"/>
      <c r="I167" s="2036"/>
      <c r="J167" s="2036"/>
      <c r="K167" s="2036"/>
      <c r="L167" s="2036"/>
      <c r="M167" s="2036"/>
      <c r="N167" s="2045"/>
      <c r="O167" s="1208"/>
      <c r="P167" s="2046" t="s">
        <v>2272</v>
      </c>
      <c r="Q167" s="2047"/>
      <c r="R167" s="2047"/>
      <c r="S167" s="2047"/>
      <c r="T167" s="2047"/>
      <c r="U167" s="2047"/>
      <c r="V167" s="2047"/>
      <c r="W167" s="2047"/>
      <c r="X167" s="2047"/>
      <c r="Y167" s="2047"/>
      <c r="Z167" s="2047"/>
      <c r="AA167" s="2047"/>
      <c r="AB167" s="2047"/>
      <c r="AC167" s="2047"/>
      <c r="AD167" s="2047"/>
      <c r="AE167" s="2047"/>
      <c r="AF167" s="2047"/>
      <c r="AG167" s="2047"/>
      <c r="AH167" s="2047"/>
      <c r="AI167" s="2047"/>
      <c r="AJ167" s="2047"/>
      <c r="AK167" s="2047"/>
      <c r="AL167" s="2047"/>
      <c r="AM167" s="2047"/>
      <c r="AN167" s="2047"/>
      <c r="AO167" s="204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9" t="s">
        <v>2271</v>
      </c>
      <c r="D168" s="2050"/>
      <c r="E168" s="2050"/>
      <c r="F168" s="2050"/>
      <c r="G168" s="2050"/>
      <c r="H168" s="2050"/>
      <c r="I168" s="2050" t="s">
        <v>2270</v>
      </c>
      <c r="J168" s="2050"/>
      <c r="K168" s="2050"/>
      <c r="L168" s="2050"/>
      <c r="M168" s="2050"/>
      <c r="N168" s="2051"/>
      <c r="O168" s="1208"/>
      <c r="P168" s="2052" t="s">
        <v>2269</v>
      </c>
      <c r="Q168" s="2053"/>
      <c r="R168" s="2053"/>
      <c r="S168" s="2053"/>
      <c r="T168" s="2053"/>
      <c r="U168" s="2053"/>
      <c r="V168" s="2053"/>
      <c r="W168" s="2053"/>
      <c r="X168" s="2053"/>
      <c r="Y168" s="2053"/>
      <c r="Z168" s="2053"/>
      <c r="AA168" s="2053"/>
      <c r="AB168" s="2053"/>
      <c r="AC168" s="2053"/>
      <c r="AD168" s="2053"/>
      <c r="AE168" s="2053"/>
      <c r="AF168" s="2053"/>
      <c r="AG168" s="2053"/>
      <c r="AH168" s="2053"/>
      <c r="AI168" s="2053"/>
      <c r="AJ168" s="2053"/>
      <c r="AK168" s="2053"/>
      <c r="AL168" s="2053"/>
      <c r="AM168" s="2053"/>
      <c r="AN168" s="2053"/>
      <c r="AO168" s="205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7"/>
      <c r="D169" s="1998"/>
      <c r="E169" s="1998"/>
      <c r="F169" s="1998"/>
      <c r="G169" s="1998"/>
      <c r="H169" s="1998"/>
      <c r="I169" s="2058"/>
      <c r="J169" s="2058"/>
      <c r="K169" s="2058"/>
      <c r="L169" s="2058"/>
      <c r="M169" s="2058"/>
      <c r="N169" s="2059"/>
      <c r="O169" s="1208"/>
      <c r="P169" s="2052"/>
      <c r="Q169" s="2053"/>
      <c r="R169" s="2053"/>
      <c r="S169" s="2053"/>
      <c r="T169" s="2053"/>
      <c r="U169" s="2053"/>
      <c r="V169" s="2053"/>
      <c r="W169" s="2053"/>
      <c r="X169" s="2053"/>
      <c r="Y169" s="2053"/>
      <c r="Z169" s="2053"/>
      <c r="AA169" s="2053"/>
      <c r="AB169" s="2053"/>
      <c r="AC169" s="2053"/>
      <c r="AD169" s="2053"/>
      <c r="AE169" s="2053"/>
      <c r="AF169" s="2053"/>
      <c r="AG169" s="2053"/>
      <c r="AH169" s="2053"/>
      <c r="AI169" s="2053"/>
      <c r="AJ169" s="2053"/>
      <c r="AK169" s="2053"/>
      <c r="AL169" s="2053"/>
      <c r="AM169" s="2053"/>
      <c r="AN169" s="2053"/>
      <c r="AO169" s="205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7"/>
      <c r="D170" s="1998"/>
      <c r="E170" s="1998"/>
      <c r="F170" s="1998"/>
      <c r="G170" s="1998"/>
      <c r="H170" s="1998"/>
      <c r="I170" s="2058"/>
      <c r="J170" s="2058"/>
      <c r="K170" s="2058"/>
      <c r="L170" s="2058"/>
      <c r="M170" s="2058"/>
      <c r="N170" s="2059"/>
      <c r="O170" s="1208"/>
      <c r="P170" s="2052"/>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2053"/>
      <c r="AN170" s="2053"/>
      <c r="AO170" s="205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7"/>
      <c r="D171" s="1998"/>
      <c r="E171" s="1998"/>
      <c r="F171" s="1998"/>
      <c r="G171" s="1998"/>
      <c r="H171" s="1998"/>
      <c r="I171" s="2058"/>
      <c r="J171" s="2058"/>
      <c r="K171" s="2058"/>
      <c r="L171" s="2058"/>
      <c r="M171" s="2058"/>
      <c r="N171" s="2059"/>
      <c r="O171" s="1208"/>
      <c r="P171" s="2052"/>
      <c r="Q171" s="2053"/>
      <c r="R171" s="2053"/>
      <c r="S171" s="2053"/>
      <c r="T171" s="2053"/>
      <c r="U171" s="2053"/>
      <c r="V171" s="2053"/>
      <c r="W171" s="2053"/>
      <c r="X171" s="2053"/>
      <c r="Y171" s="2053"/>
      <c r="Z171" s="2053"/>
      <c r="AA171" s="2053"/>
      <c r="AB171" s="2053"/>
      <c r="AC171" s="2053"/>
      <c r="AD171" s="2053"/>
      <c r="AE171" s="2053"/>
      <c r="AF171" s="2053"/>
      <c r="AG171" s="2053"/>
      <c r="AH171" s="2053"/>
      <c r="AI171" s="2053"/>
      <c r="AJ171" s="2053"/>
      <c r="AK171" s="2053"/>
      <c r="AL171" s="2053"/>
      <c r="AM171" s="2053"/>
      <c r="AN171" s="2053"/>
      <c r="AO171" s="205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7"/>
      <c r="D172" s="1998"/>
      <c r="E172" s="1998"/>
      <c r="F172" s="1998"/>
      <c r="G172" s="1998"/>
      <c r="H172" s="1998"/>
      <c r="I172" s="2058"/>
      <c r="J172" s="2058"/>
      <c r="K172" s="2058"/>
      <c r="L172" s="2058"/>
      <c r="M172" s="2058"/>
      <c r="N172" s="2059"/>
      <c r="O172" s="1208"/>
      <c r="P172" s="2052"/>
      <c r="Q172" s="2053"/>
      <c r="R172" s="2053"/>
      <c r="S172" s="2053"/>
      <c r="T172" s="2053"/>
      <c r="U172" s="2053"/>
      <c r="V172" s="2053"/>
      <c r="W172" s="2053"/>
      <c r="X172" s="2053"/>
      <c r="Y172" s="2053"/>
      <c r="Z172" s="2053"/>
      <c r="AA172" s="2053"/>
      <c r="AB172" s="2053"/>
      <c r="AC172" s="2053"/>
      <c r="AD172" s="2053"/>
      <c r="AE172" s="2053"/>
      <c r="AF172" s="2053"/>
      <c r="AG172" s="2053"/>
      <c r="AH172" s="2053"/>
      <c r="AI172" s="2053"/>
      <c r="AJ172" s="2053"/>
      <c r="AK172" s="2053"/>
      <c r="AL172" s="2053"/>
      <c r="AM172" s="2053"/>
      <c r="AN172" s="2053"/>
      <c r="AO172" s="205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7"/>
      <c r="D173" s="1998"/>
      <c r="E173" s="1998"/>
      <c r="F173" s="1998"/>
      <c r="G173" s="1998"/>
      <c r="H173" s="1998"/>
      <c r="I173" s="2058"/>
      <c r="J173" s="2058"/>
      <c r="K173" s="2058"/>
      <c r="L173" s="2058"/>
      <c r="M173" s="2058"/>
      <c r="N173" s="2059"/>
      <c r="O173" s="1208"/>
      <c r="P173" s="2052"/>
      <c r="Q173" s="2053"/>
      <c r="R173" s="2053"/>
      <c r="S173" s="2053"/>
      <c r="T173" s="2053"/>
      <c r="U173" s="2053"/>
      <c r="V173" s="2053"/>
      <c r="W173" s="2053"/>
      <c r="X173" s="2053"/>
      <c r="Y173" s="2053"/>
      <c r="Z173" s="2053"/>
      <c r="AA173" s="2053"/>
      <c r="AB173" s="2053"/>
      <c r="AC173" s="2053"/>
      <c r="AD173" s="2053"/>
      <c r="AE173" s="2053"/>
      <c r="AF173" s="2053"/>
      <c r="AG173" s="2053"/>
      <c r="AH173" s="2053"/>
      <c r="AI173" s="2053"/>
      <c r="AJ173" s="2053"/>
      <c r="AK173" s="2053"/>
      <c r="AL173" s="2053"/>
      <c r="AM173" s="2053"/>
      <c r="AN173" s="2053"/>
      <c r="AO173" s="205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7"/>
      <c r="D174" s="1998"/>
      <c r="E174" s="1998"/>
      <c r="F174" s="1998"/>
      <c r="G174" s="1998"/>
      <c r="H174" s="1998"/>
      <c r="I174" s="2058"/>
      <c r="J174" s="2058"/>
      <c r="K174" s="2058"/>
      <c r="L174" s="2058"/>
      <c r="M174" s="2058"/>
      <c r="N174" s="2059"/>
      <c r="O174" s="1208"/>
      <c r="P174" s="2052"/>
      <c r="Q174" s="2053"/>
      <c r="R174" s="2053"/>
      <c r="S174" s="2053"/>
      <c r="T174" s="2053"/>
      <c r="U174" s="2053"/>
      <c r="V174" s="2053"/>
      <c r="W174" s="2053"/>
      <c r="X174" s="2053"/>
      <c r="Y174" s="2053"/>
      <c r="Z174" s="2053"/>
      <c r="AA174" s="2053"/>
      <c r="AB174" s="2053"/>
      <c r="AC174" s="2053"/>
      <c r="AD174" s="2053"/>
      <c r="AE174" s="2053"/>
      <c r="AF174" s="2053"/>
      <c r="AG174" s="2053"/>
      <c r="AH174" s="2053"/>
      <c r="AI174" s="2053"/>
      <c r="AJ174" s="2053"/>
      <c r="AK174" s="2053"/>
      <c r="AL174" s="2053"/>
      <c r="AM174" s="2053"/>
      <c r="AN174" s="2053"/>
      <c r="AO174" s="205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0"/>
      <c r="D175" s="2061"/>
      <c r="E175" s="2061"/>
      <c r="F175" s="2061"/>
      <c r="G175" s="2061"/>
      <c r="H175" s="2061"/>
      <c r="I175" s="2062"/>
      <c r="J175" s="2062"/>
      <c r="K175" s="2062"/>
      <c r="L175" s="2062"/>
      <c r="M175" s="2062"/>
      <c r="N175" s="2063"/>
      <c r="O175" s="1208"/>
      <c r="P175" s="2055"/>
      <c r="Q175" s="2056"/>
      <c r="R175" s="2056"/>
      <c r="S175" s="2056"/>
      <c r="T175" s="2056"/>
      <c r="U175" s="2056"/>
      <c r="V175" s="2056"/>
      <c r="W175" s="2056"/>
      <c r="X175" s="2056"/>
      <c r="Y175" s="2056"/>
      <c r="Z175" s="2056"/>
      <c r="AA175" s="2056"/>
      <c r="AB175" s="2056"/>
      <c r="AC175" s="2056"/>
      <c r="AD175" s="2056"/>
      <c r="AE175" s="2056"/>
      <c r="AF175" s="2056"/>
      <c r="AG175" s="2056"/>
      <c r="AH175" s="2056"/>
      <c r="AI175" s="2056"/>
      <c r="AJ175" s="2056"/>
      <c r="AK175" s="2056"/>
      <c r="AL175" s="2056"/>
      <c r="AM175" s="2056"/>
      <c r="AN175" s="2056"/>
      <c r="AO175" s="205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6" t="s">
        <v>2268</v>
      </c>
      <c r="D177" s="2027"/>
      <c r="E177" s="2027"/>
      <c r="F177" s="2027"/>
      <c r="G177" s="2027"/>
      <c r="H177" s="2027"/>
      <c r="I177" s="2027"/>
      <c r="J177" s="2027"/>
      <c r="K177" s="2027"/>
      <c r="L177" s="2027"/>
      <c r="M177" s="2027"/>
      <c r="N177" s="2027"/>
      <c r="O177" s="2027"/>
      <c r="P177" s="2027"/>
      <c r="Q177" s="2027"/>
      <c r="R177" s="2027"/>
      <c r="S177" s="2027"/>
      <c r="T177" s="2027"/>
      <c r="U177" s="2027"/>
      <c r="V177" s="2027"/>
      <c r="W177" s="2027"/>
      <c r="X177" s="2027"/>
      <c r="Y177" s="2027"/>
      <c r="Z177" s="2027"/>
      <c r="AA177" s="2027"/>
      <c r="AB177" s="2027"/>
      <c r="AC177" s="2027"/>
      <c r="AD177" s="2027"/>
      <c r="AE177" s="2028"/>
      <c r="AF177" s="1208"/>
      <c r="AG177" s="1208"/>
      <c r="AH177" s="1911"/>
      <c r="AI177" s="1911"/>
      <c r="AJ177" s="1911"/>
      <c r="AK177" s="1911"/>
      <c r="AL177" s="1911"/>
      <c r="AM177" s="1911"/>
      <c r="AN177" s="1911"/>
      <c r="AO177" s="1911"/>
      <c r="AP177" s="1911"/>
      <c r="AQ177" s="1911"/>
      <c r="AR177" s="1911"/>
      <c r="AS177" s="1911"/>
      <c r="AT177" s="1911"/>
      <c r="AU177" s="1911"/>
      <c r="AV177" s="1911"/>
      <c r="AW177" s="1911"/>
      <c r="AX177" s="1911"/>
      <c r="AY177" s="1911"/>
      <c r="AZ177" s="1911"/>
      <c r="BA177" s="1911"/>
      <c r="BB177" s="1911"/>
      <c r="BC177" s="1911"/>
      <c r="BD177" s="1911"/>
      <c r="BE177" s="1911"/>
    </row>
    <row r="178" spans="1:57" ht="15.75" customHeight="1" thickBot="1">
      <c r="A178" s="1208"/>
      <c r="B178" s="1208"/>
      <c r="C178" s="2029"/>
      <c r="D178" s="2030"/>
      <c r="E178" s="2030"/>
      <c r="F178" s="2030"/>
      <c r="G178" s="2030"/>
      <c r="H178" s="2030"/>
      <c r="I178" s="2030"/>
      <c r="J178" s="2030"/>
      <c r="K178" s="2030"/>
      <c r="L178" s="2030"/>
      <c r="M178" s="2030"/>
      <c r="N178" s="2030"/>
      <c r="O178" s="2030"/>
      <c r="P178" s="2030"/>
      <c r="Q178" s="2030"/>
      <c r="R178" s="2030"/>
      <c r="S178" s="2030"/>
      <c r="T178" s="2030"/>
      <c r="U178" s="2030"/>
      <c r="V178" s="2030"/>
      <c r="W178" s="2030"/>
      <c r="X178" s="2030"/>
      <c r="Y178" s="2030"/>
      <c r="Z178" s="2030"/>
      <c r="AA178" s="2030"/>
      <c r="AB178" s="2030"/>
      <c r="AC178" s="2030"/>
      <c r="AD178" s="2030"/>
      <c r="AE178" s="2031"/>
      <c r="AF178" s="1208"/>
      <c r="AG178" s="1208"/>
      <c r="AH178" s="1911"/>
      <c r="AI178" s="1911"/>
      <c r="AJ178" s="1911"/>
      <c r="AK178" s="1911"/>
      <c r="AL178" s="1911"/>
      <c r="AM178" s="1911"/>
      <c r="AN178" s="1911"/>
      <c r="AO178" s="1911"/>
      <c r="AP178" s="1911"/>
      <c r="AQ178" s="1911"/>
      <c r="AR178" s="1911"/>
      <c r="AS178" s="1911"/>
      <c r="AT178" s="1911"/>
      <c r="AU178" s="1911"/>
      <c r="AV178" s="1911"/>
      <c r="AW178" s="1911"/>
      <c r="AX178" s="1911"/>
      <c r="AY178" s="1911"/>
      <c r="AZ178" s="1911"/>
      <c r="BA178" s="1911"/>
      <c r="BB178" s="1911"/>
      <c r="BC178" s="1911"/>
      <c r="BD178" s="1911"/>
      <c r="BE178" s="1911"/>
    </row>
    <row r="179" spans="1:57" ht="15.75" customHeight="1">
      <c r="A179" s="1208"/>
      <c r="B179" s="1208"/>
      <c r="C179" s="2035" t="s">
        <v>2266</v>
      </c>
      <c r="D179" s="2036"/>
      <c r="E179" s="2036"/>
      <c r="F179" s="2036"/>
      <c r="G179" s="2036"/>
      <c r="H179" s="2036"/>
      <c r="I179" s="2036"/>
      <c r="J179" s="2036"/>
      <c r="K179" s="2036"/>
      <c r="L179" s="2036"/>
      <c r="M179" s="2036"/>
      <c r="N179" s="2036" t="s">
        <v>2267</v>
      </c>
      <c r="O179" s="2036"/>
      <c r="P179" s="2036"/>
      <c r="Q179" s="2036"/>
      <c r="R179" s="2036"/>
      <c r="S179" s="2036"/>
      <c r="T179" s="2036"/>
      <c r="U179" s="2037" t="s">
        <v>2266</v>
      </c>
      <c r="V179" s="2037"/>
      <c r="W179" s="2037"/>
      <c r="X179" s="2037"/>
      <c r="Y179" s="2037"/>
      <c r="Z179" s="2037"/>
      <c r="AA179" s="2037"/>
      <c r="AB179" s="2037"/>
      <c r="AC179" s="2037"/>
      <c r="AD179" s="2037"/>
      <c r="AE179" s="2038"/>
      <c r="AF179" s="1208"/>
      <c r="AG179" s="1208"/>
      <c r="AH179" s="1911"/>
      <c r="AI179" s="1911"/>
      <c r="AJ179" s="1911"/>
      <c r="AK179" s="1911"/>
      <c r="AL179" s="1911"/>
      <c r="AM179" s="1911"/>
      <c r="AN179" s="1911"/>
      <c r="AO179" s="1911"/>
      <c r="AP179" s="1911"/>
      <c r="AQ179" s="1911"/>
      <c r="AR179" s="1911"/>
      <c r="AS179" s="1911"/>
      <c r="AT179" s="1911"/>
      <c r="AU179" s="1911"/>
      <c r="AV179" s="1911"/>
      <c r="AW179" s="1911"/>
      <c r="AX179" s="1911"/>
      <c r="AY179" s="1911"/>
      <c r="AZ179" s="1911"/>
      <c r="BA179" s="1911"/>
      <c r="BB179" s="1911"/>
      <c r="BC179" s="1911"/>
      <c r="BD179" s="1911"/>
      <c r="BE179" s="1911"/>
    </row>
    <row r="180" spans="1:57" ht="15.75" customHeight="1">
      <c r="A180" s="1208"/>
      <c r="B180" s="1208"/>
      <c r="C180" s="2014" t="s">
        <v>2265</v>
      </c>
      <c r="D180" s="2015"/>
      <c r="E180" s="2015"/>
      <c r="F180" s="2015"/>
      <c r="G180" s="2015"/>
      <c r="H180" s="2015"/>
      <c r="I180" s="2015"/>
      <c r="J180" s="2015"/>
      <c r="K180" s="2015"/>
      <c r="L180" s="2015"/>
      <c r="M180" s="2015"/>
      <c r="N180" s="2025">
        <f>'Sources and Uses Budget'!B105</f>
        <v>64089184</v>
      </c>
      <c r="O180" s="2025"/>
      <c r="P180" s="2025"/>
      <c r="Q180" s="2025"/>
      <c r="R180" s="2025"/>
      <c r="S180" s="2025"/>
      <c r="T180" s="2025"/>
      <c r="U180" s="2039"/>
      <c r="V180" s="2039"/>
      <c r="W180" s="2039"/>
      <c r="X180" s="2039"/>
      <c r="Y180" s="2039"/>
      <c r="Z180" s="2039"/>
      <c r="AA180" s="2039"/>
      <c r="AB180" s="2039"/>
      <c r="AC180" s="2039"/>
      <c r="AD180" s="2039"/>
      <c r="AE180" s="2040"/>
      <c r="AF180" s="1208"/>
      <c r="AG180" s="1208"/>
      <c r="AH180" s="1911"/>
      <c r="AI180" s="1911"/>
      <c r="AJ180" s="1911"/>
      <c r="AK180" s="1911"/>
      <c r="AL180" s="1911"/>
      <c r="AM180" s="1911"/>
      <c r="AN180" s="1911"/>
      <c r="AO180" s="1911"/>
      <c r="AP180" s="1911"/>
      <c r="AQ180" s="1911"/>
      <c r="AR180" s="1911"/>
      <c r="AS180" s="1911"/>
      <c r="AT180" s="1911"/>
      <c r="AU180" s="1911"/>
      <c r="AV180" s="1911"/>
      <c r="AW180" s="1911"/>
      <c r="AX180" s="1911"/>
      <c r="AY180" s="1911"/>
      <c r="AZ180" s="1911"/>
      <c r="BA180" s="1911"/>
      <c r="BB180" s="1911"/>
      <c r="BC180" s="1911"/>
      <c r="BD180" s="1911"/>
      <c r="BE180" s="1911"/>
    </row>
    <row r="181" spans="1:57" ht="15.75" customHeight="1">
      <c r="A181" s="1208"/>
      <c r="B181" s="1208"/>
      <c r="C181" s="2014" t="s">
        <v>2264</v>
      </c>
      <c r="D181" s="2015"/>
      <c r="E181" s="2015"/>
      <c r="F181" s="2015"/>
      <c r="G181" s="2015"/>
      <c r="H181" s="2015"/>
      <c r="I181" s="2015"/>
      <c r="J181" s="2015"/>
      <c r="K181" s="2015"/>
      <c r="L181" s="2015"/>
      <c r="M181" s="2015"/>
      <c r="N181" s="2025">
        <f>N180/J29</f>
        <v>416163.5324675325</v>
      </c>
      <c r="O181" s="2025"/>
      <c r="P181" s="2025"/>
      <c r="Q181" s="2025"/>
      <c r="R181" s="2025"/>
      <c r="S181" s="2025"/>
      <c r="T181" s="2025"/>
      <c r="U181" s="1248"/>
      <c r="V181" s="1248"/>
      <c r="W181" s="1248"/>
      <c r="X181" s="1248"/>
      <c r="Y181" s="1248"/>
      <c r="Z181" s="1248"/>
      <c r="AA181" s="1248"/>
      <c r="AB181" s="1248"/>
      <c r="AC181" s="1248"/>
      <c r="AD181" s="1248"/>
      <c r="AE181" s="1249"/>
      <c r="AF181" s="1208"/>
      <c r="AG181" s="1208"/>
      <c r="AH181" s="1911"/>
      <c r="AI181" s="1911"/>
      <c r="AJ181" s="1911"/>
      <c r="AK181" s="1911"/>
      <c r="AL181" s="1911"/>
      <c r="AM181" s="1911"/>
      <c r="AN181" s="1911"/>
      <c r="AO181" s="1911"/>
      <c r="AP181" s="1911"/>
      <c r="AQ181" s="1911"/>
      <c r="AR181" s="1911"/>
      <c r="AS181" s="1911"/>
      <c r="AT181" s="1911"/>
      <c r="AU181" s="1911"/>
      <c r="AV181" s="1911"/>
      <c r="AW181" s="1911"/>
      <c r="AX181" s="1911"/>
      <c r="AY181" s="1911"/>
      <c r="AZ181" s="1911"/>
      <c r="BA181" s="1911"/>
      <c r="BB181" s="1911"/>
      <c r="BC181" s="1911"/>
      <c r="BD181" s="1911"/>
      <c r="BE181" s="1911"/>
    </row>
    <row r="182" spans="1:57" ht="15.75" customHeight="1">
      <c r="A182" s="1208"/>
      <c r="B182" s="1208"/>
      <c r="C182" s="2041" t="s">
        <v>2263</v>
      </c>
      <c r="D182" s="2042"/>
      <c r="E182" s="2042"/>
      <c r="F182" s="2042"/>
      <c r="G182" s="2042"/>
      <c r="H182" s="2042"/>
      <c r="I182" s="2042"/>
      <c r="J182" s="2042"/>
      <c r="K182" s="2042"/>
      <c r="L182" s="2042"/>
      <c r="M182" s="2042"/>
      <c r="N182" s="2043">
        <v>0</v>
      </c>
      <c r="O182" s="2043"/>
      <c r="P182" s="2043"/>
      <c r="Q182" s="2043"/>
      <c r="R182" s="2043"/>
      <c r="S182" s="2043"/>
      <c r="T182" s="2043"/>
      <c r="U182" s="2001"/>
      <c r="V182" s="2001"/>
      <c r="W182" s="2001"/>
      <c r="X182" s="2001"/>
      <c r="Y182" s="2001"/>
      <c r="Z182" s="2001"/>
      <c r="AA182" s="2001"/>
      <c r="AB182" s="2001"/>
      <c r="AC182" s="2001"/>
      <c r="AD182" s="2001"/>
      <c r="AE182" s="2002"/>
      <c r="AF182" s="1208"/>
      <c r="AG182" s="1208"/>
      <c r="AH182" s="1911"/>
      <c r="AI182" s="1911"/>
      <c r="AJ182" s="1911"/>
      <c r="AK182" s="1911"/>
      <c r="AL182" s="1911"/>
      <c r="AM182" s="1911"/>
      <c r="AN182" s="1911"/>
      <c r="AO182" s="1911"/>
      <c r="AP182" s="1911"/>
      <c r="AQ182" s="1911"/>
      <c r="AR182" s="1911"/>
      <c r="AS182" s="1911"/>
      <c r="AT182" s="1911"/>
      <c r="AU182" s="1911"/>
      <c r="AV182" s="1911"/>
      <c r="AW182" s="1911"/>
      <c r="AX182" s="1911"/>
      <c r="AY182" s="1911"/>
      <c r="AZ182" s="1911"/>
      <c r="BA182" s="1911"/>
      <c r="BB182" s="1911"/>
      <c r="BC182" s="1911"/>
      <c r="BD182" s="1911"/>
      <c r="BE182" s="1911"/>
    </row>
    <row r="183" spans="1:57" ht="15.75" customHeight="1" thickBot="1">
      <c r="A183" s="1208"/>
      <c r="B183" s="1208"/>
      <c r="C183" s="2014" t="s">
        <v>2262</v>
      </c>
      <c r="D183" s="2015"/>
      <c r="E183" s="2015"/>
      <c r="F183" s="2015"/>
      <c r="G183" s="2015"/>
      <c r="H183" s="2015"/>
      <c r="I183" s="2015"/>
      <c r="J183" s="2015"/>
      <c r="K183" s="2015"/>
      <c r="L183" s="2015"/>
      <c r="M183" s="2015"/>
      <c r="N183" s="2044">
        <f>SUM('Sources and Uses Budget'!B85:B86)</f>
        <v>2970467</v>
      </c>
      <c r="O183" s="2044"/>
      <c r="P183" s="2044"/>
      <c r="Q183" s="2044"/>
      <c r="R183" s="2044"/>
      <c r="S183" s="2044"/>
      <c r="T183" s="2044"/>
      <c r="U183" s="2001"/>
      <c r="V183" s="2001"/>
      <c r="W183" s="2001"/>
      <c r="X183" s="2001"/>
      <c r="Y183" s="2001"/>
      <c r="Z183" s="2001"/>
      <c r="AA183" s="2001"/>
      <c r="AB183" s="2001"/>
      <c r="AC183" s="2001"/>
      <c r="AD183" s="2001"/>
      <c r="AE183" s="2002"/>
      <c r="AF183" s="1208"/>
      <c r="AG183" s="1208"/>
      <c r="AH183" s="1911"/>
      <c r="AI183" s="1911"/>
      <c r="AJ183" s="1911"/>
      <c r="AK183" s="1911"/>
      <c r="AL183" s="1911"/>
      <c r="AM183" s="1911"/>
      <c r="AN183" s="1911"/>
      <c r="AO183" s="1911"/>
      <c r="AP183" s="1911"/>
      <c r="AQ183" s="1911"/>
      <c r="AR183" s="1911"/>
      <c r="AS183" s="1911"/>
      <c r="AT183" s="1911"/>
      <c r="AU183" s="1911"/>
      <c r="AV183" s="1911"/>
      <c r="AW183" s="1911"/>
      <c r="AX183" s="1911"/>
      <c r="AY183" s="1911"/>
      <c r="AZ183" s="1911"/>
      <c r="BA183" s="1911"/>
      <c r="BB183" s="1911"/>
      <c r="BC183" s="1911"/>
      <c r="BD183" s="1911"/>
      <c r="BE183" s="1911"/>
    </row>
    <row r="184" spans="1:57" ht="15.75" customHeight="1" thickBot="1">
      <c r="A184" s="1208"/>
      <c r="B184" s="1208"/>
      <c r="C184" s="2014" t="s">
        <v>2261</v>
      </c>
      <c r="D184" s="2015"/>
      <c r="E184" s="2015"/>
      <c r="F184" s="2015"/>
      <c r="G184" s="2015"/>
      <c r="H184" s="2015"/>
      <c r="I184" s="2015"/>
      <c r="J184" s="2015"/>
      <c r="K184" s="2015"/>
      <c r="L184" s="2015"/>
      <c r="M184" s="2015"/>
      <c r="N184" s="2044">
        <f>'Sources and Uses Budget'!B8</f>
        <v>295000</v>
      </c>
      <c r="O184" s="2044"/>
      <c r="P184" s="2044"/>
      <c r="Q184" s="2044"/>
      <c r="R184" s="2044"/>
      <c r="S184" s="2044"/>
      <c r="T184" s="2044"/>
      <c r="U184" s="2001"/>
      <c r="V184" s="2001"/>
      <c r="W184" s="2001"/>
      <c r="X184" s="2001"/>
      <c r="Y184" s="2001"/>
      <c r="Z184" s="2001"/>
      <c r="AA184" s="2001"/>
      <c r="AB184" s="2001"/>
      <c r="AC184" s="2001"/>
      <c r="AD184" s="2001"/>
      <c r="AE184" s="2002"/>
      <c r="AF184" s="1208"/>
      <c r="AG184" s="1208"/>
      <c r="AH184" s="2011" t="s">
        <v>2259</v>
      </c>
      <c r="AI184" s="2012"/>
      <c r="AJ184" s="2012"/>
      <c r="AK184" s="2012"/>
      <c r="AL184" s="2012"/>
      <c r="AM184" s="2012"/>
      <c r="AN184" s="2012"/>
      <c r="AO184" s="2012"/>
      <c r="AP184" s="2012"/>
      <c r="AQ184" s="2012"/>
      <c r="AR184" s="2012"/>
      <c r="AS184" s="2012"/>
      <c r="AT184" s="2012"/>
      <c r="AU184" s="2012"/>
      <c r="AV184" s="2012"/>
      <c r="AW184" s="2012"/>
      <c r="AX184" s="2012"/>
      <c r="AY184" s="2012"/>
      <c r="AZ184" s="2012"/>
      <c r="BA184" s="2012"/>
      <c r="BB184" s="2012"/>
      <c r="BC184" s="2012"/>
      <c r="BD184" s="2012"/>
      <c r="BE184" s="2013"/>
    </row>
    <row r="185" spans="1:57" ht="15.75" customHeight="1">
      <c r="A185" s="1208"/>
      <c r="B185" s="1208"/>
      <c r="C185" s="2014" t="s">
        <v>2260</v>
      </c>
      <c r="D185" s="2015"/>
      <c r="E185" s="2015"/>
      <c r="F185" s="2015"/>
      <c r="G185" s="2015"/>
      <c r="H185" s="2015"/>
      <c r="I185" s="2015"/>
      <c r="J185" s="2015"/>
      <c r="K185" s="2015"/>
      <c r="L185" s="2015"/>
      <c r="M185" s="2015"/>
      <c r="N185" s="2000">
        <v>0</v>
      </c>
      <c r="O185" s="2000"/>
      <c r="P185" s="2000"/>
      <c r="Q185" s="2000"/>
      <c r="R185" s="2000"/>
      <c r="S185" s="2000"/>
      <c r="T185" s="2000"/>
      <c r="U185" s="2001"/>
      <c r="V185" s="2001"/>
      <c r="W185" s="2001"/>
      <c r="X185" s="2001"/>
      <c r="Y185" s="2001"/>
      <c r="Z185" s="2001"/>
      <c r="AA185" s="2001"/>
      <c r="AB185" s="2001"/>
      <c r="AC185" s="2001"/>
      <c r="AD185" s="2001"/>
      <c r="AE185" s="2002"/>
      <c r="AF185" s="1208"/>
      <c r="AG185" s="1208"/>
      <c r="AH185" s="2016" t="s">
        <v>2259</v>
      </c>
      <c r="AI185" s="2017"/>
      <c r="AJ185" s="2017"/>
      <c r="AK185" s="2017"/>
      <c r="AL185" s="2017"/>
      <c r="AM185" s="2017"/>
      <c r="AN185" s="2017"/>
      <c r="AO185" s="2017"/>
      <c r="AP185" s="2017"/>
      <c r="AQ185" s="2017"/>
      <c r="AR185" s="2017"/>
      <c r="AS185" s="2017"/>
      <c r="AT185" s="2017"/>
      <c r="AU185" s="2018">
        <v>0</v>
      </c>
      <c r="AV185" s="2018"/>
      <c r="AW185" s="2018"/>
      <c r="AX185" s="2018"/>
      <c r="AY185" s="2018"/>
      <c r="AZ185" s="2018"/>
      <c r="BA185" s="2018"/>
      <c r="BB185" s="2018"/>
      <c r="BC185" s="2019"/>
      <c r="BD185" s="2020"/>
      <c r="BE185" s="2021"/>
    </row>
    <row r="186" spans="1:57" ht="15.75" customHeight="1">
      <c r="A186" s="1208"/>
      <c r="B186" s="1208"/>
      <c r="C186" s="2014" t="s">
        <v>2258</v>
      </c>
      <c r="D186" s="2015"/>
      <c r="E186" s="2015"/>
      <c r="F186" s="2015"/>
      <c r="G186" s="2015"/>
      <c r="H186" s="2015"/>
      <c r="I186" s="2015"/>
      <c r="J186" s="2015"/>
      <c r="K186" s="2015"/>
      <c r="L186" s="2015"/>
      <c r="M186" s="2015"/>
      <c r="N186" s="2000">
        <v>0</v>
      </c>
      <c r="O186" s="2000"/>
      <c r="P186" s="2000"/>
      <c r="Q186" s="2000"/>
      <c r="R186" s="2000"/>
      <c r="S186" s="2000"/>
      <c r="T186" s="2000"/>
      <c r="U186" s="2001"/>
      <c r="V186" s="2001"/>
      <c r="W186" s="2001"/>
      <c r="X186" s="2001"/>
      <c r="Y186" s="2001"/>
      <c r="Z186" s="2001"/>
      <c r="AA186" s="2001"/>
      <c r="AB186" s="2001"/>
      <c r="AC186" s="2001"/>
      <c r="AD186" s="2001"/>
      <c r="AE186" s="2002"/>
      <c r="AF186" s="1208"/>
      <c r="AG186" s="1208"/>
      <c r="AH186" s="2032" t="s">
        <v>2257</v>
      </c>
      <c r="AI186" s="2033"/>
      <c r="AJ186" s="2033"/>
      <c r="AK186" s="2033"/>
      <c r="AL186" s="2033"/>
      <c r="AM186" s="2033"/>
      <c r="AN186" s="2033"/>
      <c r="AO186" s="2033"/>
      <c r="AP186" s="2033"/>
      <c r="AQ186" s="2033"/>
      <c r="AR186" s="2033"/>
      <c r="AS186" s="2033"/>
      <c r="AT186" s="2033"/>
      <c r="AU186" s="2034"/>
      <c r="AV186" s="2034"/>
      <c r="AW186" s="2034"/>
      <c r="AX186" s="2034"/>
      <c r="AY186" s="2034"/>
      <c r="AZ186" s="2034"/>
      <c r="BA186" s="2034"/>
      <c r="BB186" s="2034"/>
      <c r="BC186" s="2022"/>
      <c r="BD186" s="2023"/>
      <c r="BE186" s="2024"/>
    </row>
    <row r="187" spans="1:57" ht="15.75" customHeight="1">
      <c r="A187" s="1208"/>
      <c r="B187" s="1208"/>
      <c r="C187" s="2006" t="s">
        <v>300</v>
      </c>
      <c r="D187" s="2007"/>
      <c r="E187" s="1999" t="s">
        <v>2255</v>
      </c>
      <c r="F187" s="1999"/>
      <c r="G187" s="1999"/>
      <c r="H187" s="1999"/>
      <c r="I187" s="1999"/>
      <c r="J187" s="1999"/>
      <c r="K187" s="1999"/>
      <c r="L187" s="1999"/>
      <c r="M187" s="1999"/>
      <c r="N187" s="2000">
        <v>0</v>
      </c>
      <c r="O187" s="2000"/>
      <c r="P187" s="2000"/>
      <c r="Q187" s="2000"/>
      <c r="R187" s="2000"/>
      <c r="S187" s="2000"/>
      <c r="T187" s="2000"/>
      <c r="U187" s="2001"/>
      <c r="V187" s="2001"/>
      <c r="W187" s="2001"/>
      <c r="X187" s="2001"/>
      <c r="Y187" s="2001"/>
      <c r="Z187" s="2001"/>
      <c r="AA187" s="2001"/>
      <c r="AB187" s="2001"/>
      <c r="AC187" s="2001"/>
      <c r="AD187" s="2001"/>
      <c r="AE187" s="2002"/>
      <c r="AF187" s="1208"/>
      <c r="AG187" s="1208"/>
      <c r="AH187" s="2008" t="s">
        <v>2256</v>
      </c>
      <c r="AI187" s="2009"/>
      <c r="AJ187" s="2009"/>
      <c r="AK187" s="2009"/>
      <c r="AL187" s="2009"/>
      <c r="AM187" s="2009"/>
      <c r="AN187" s="2009"/>
      <c r="AO187" s="2009"/>
      <c r="AP187" s="2009"/>
      <c r="AQ187" s="2009"/>
      <c r="AR187" s="2009"/>
      <c r="AS187" s="2009"/>
      <c r="AT187" s="2009"/>
      <c r="AU187" s="2010">
        <f>SUM(AU185:BB186)</f>
        <v>0</v>
      </c>
      <c r="AV187" s="2010"/>
      <c r="AW187" s="2010"/>
      <c r="AX187" s="2010"/>
      <c r="AY187" s="2010"/>
      <c r="AZ187" s="2010"/>
      <c r="BA187" s="2010"/>
      <c r="BB187" s="2010"/>
      <c r="BC187" s="2022"/>
      <c r="BD187" s="2023"/>
      <c r="BE187" s="2024"/>
    </row>
    <row r="188" spans="1:57" ht="15.75" customHeight="1" thickBot="1">
      <c r="A188" s="1208"/>
      <c r="B188" s="1208"/>
      <c r="C188" s="1997" t="s">
        <v>300</v>
      </c>
      <c r="D188" s="1998"/>
      <c r="E188" s="1999" t="s">
        <v>2255</v>
      </c>
      <c r="F188" s="1999"/>
      <c r="G188" s="1999"/>
      <c r="H188" s="1999"/>
      <c r="I188" s="1999"/>
      <c r="J188" s="1999"/>
      <c r="K188" s="1999"/>
      <c r="L188" s="1999"/>
      <c r="M188" s="1999"/>
      <c r="N188" s="2000">
        <v>0</v>
      </c>
      <c r="O188" s="2000"/>
      <c r="P188" s="2000"/>
      <c r="Q188" s="2000"/>
      <c r="R188" s="2000"/>
      <c r="S188" s="2000"/>
      <c r="T188" s="2000"/>
      <c r="U188" s="2001"/>
      <c r="V188" s="2001"/>
      <c r="W188" s="2001"/>
      <c r="X188" s="2001"/>
      <c r="Y188" s="2001"/>
      <c r="Z188" s="2001"/>
      <c r="AA188" s="2001"/>
      <c r="AB188" s="2001"/>
      <c r="AC188" s="2001"/>
      <c r="AD188" s="2001"/>
      <c r="AE188" s="2002"/>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3"/>
      <c r="BD188" s="2004"/>
      <c r="BE188" s="2005"/>
    </row>
    <row r="189" spans="1:57" ht="15.75" customHeight="1" thickBot="1">
      <c r="A189" s="1208"/>
      <c r="B189" s="1208"/>
      <c r="C189" s="1985" t="s">
        <v>300</v>
      </c>
      <c r="D189" s="1986"/>
      <c r="E189" s="1987" t="s">
        <v>2255</v>
      </c>
      <c r="F189" s="1987"/>
      <c r="G189" s="1987"/>
      <c r="H189" s="1987"/>
      <c r="I189" s="1987"/>
      <c r="J189" s="1987"/>
      <c r="K189" s="1987"/>
      <c r="L189" s="1987"/>
      <c r="M189" s="1988"/>
      <c r="N189" s="1989">
        <v>0</v>
      </c>
      <c r="O189" s="1989"/>
      <c r="P189" s="1989"/>
      <c r="Q189" s="1989"/>
      <c r="R189" s="1989"/>
      <c r="S189" s="1989"/>
      <c r="T189" s="1990"/>
      <c r="U189" s="1991"/>
      <c r="V189" s="1992"/>
      <c r="W189" s="1992"/>
      <c r="X189" s="1992"/>
      <c r="Y189" s="1992"/>
      <c r="Z189" s="1992"/>
      <c r="AA189" s="1992"/>
      <c r="AB189" s="1992"/>
      <c r="AC189" s="1992"/>
      <c r="AD189" s="1992"/>
      <c r="AE189" s="1993"/>
      <c r="AF189" s="1208"/>
      <c r="AG189" s="1208"/>
      <c r="AH189" s="1994" t="s">
        <v>2254</v>
      </c>
      <c r="AI189" s="1995"/>
      <c r="AJ189" s="1995"/>
      <c r="AK189" s="1995"/>
      <c r="AL189" s="1995"/>
      <c r="AM189" s="1995"/>
      <c r="AN189" s="1995"/>
      <c r="AO189" s="1995"/>
      <c r="AP189" s="1995"/>
      <c r="AQ189" s="1995"/>
      <c r="AR189" s="1995"/>
      <c r="AS189" s="1995"/>
      <c r="AT189" s="1995"/>
      <c r="AU189" s="1996"/>
      <c r="AV189" s="1996"/>
      <c r="AW189" s="1996"/>
      <c r="AX189" s="1996"/>
      <c r="AY189" s="1996"/>
      <c r="AZ189" s="1996"/>
      <c r="BA189" s="1996"/>
      <c r="BB189" s="1996"/>
      <c r="BC189" s="1164"/>
      <c r="BD189" s="1164"/>
      <c r="BE189" s="1252"/>
    </row>
    <row r="190" spans="1:57" ht="15.75" customHeight="1">
      <c r="A190" s="1208"/>
      <c r="B190" s="1208"/>
      <c r="C190" s="1968" t="s">
        <v>2253</v>
      </c>
      <c r="D190" s="1969"/>
      <c r="E190" s="1969"/>
      <c r="F190" s="1969"/>
      <c r="G190" s="1969"/>
      <c r="H190" s="1969"/>
      <c r="I190" s="1969"/>
      <c r="J190" s="1969"/>
      <c r="K190" s="1969"/>
      <c r="L190" s="1969"/>
      <c r="M190" s="1969"/>
      <c r="N190" s="1970">
        <f>SUM(N182:T189)</f>
        <v>3265467</v>
      </c>
      <c r="O190" s="1970"/>
      <c r="P190" s="1970"/>
      <c r="Q190" s="1970"/>
      <c r="R190" s="1970"/>
      <c r="S190" s="1970"/>
      <c r="T190" s="1971"/>
      <c r="U190" s="1208"/>
      <c r="V190" s="1208"/>
      <c r="W190" s="1208"/>
      <c r="X190" s="1208"/>
      <c r="Y190" s="1208"/>
      <c r="Z190" s="1208"/>
      <c r="AA190" s="1208"/>
      <c r="AB190" s="1208"/>
      <c r="AC190" s="1208"/>
      <c r="AD190" s="1208"/>
      <c r="AE190" s="1208"/>
      <c r="AF190" s="1208"/>
      <c r="AG190" s="1208"/>
      <c r="AH190" s="1972" t="s">
        <v>2252</v>
      </c>
      <c r="AI190" s="1973"/>
      <c r="AJ190" s="1973"/>
      <c r="AK190" s="1973"/>
      <c r="AL190" s="1973"/>
      <c r="AM190" s="1973"/>
      <c r="AN190" s="1973"/>
      <c r="AO190" s="1973"/>
      <c r="AP190" s="1973"/>
      <c r="AQ190" s="1973"/>
      <c r="AR190" s="1973"/>
      <c r="AS190" s="1973"/>
      <c r="AT190" s="1973"/>
      <c r="AU190" s="1973"/>
      <c r="AV190" s="1973"/>
      <c r="AW190" s="1973"/>
      <c r="AX190" s="1973"/>
      <c r="AY190" s="1973"/>
      <c r="AZ190" s="1973"/>
      <c r="BA190" s="1973"/>
      <c r="BB190" s="1973"/>
      <c r="BC190" s="1973"/>
      <c r="BD190" s="1973"/>
      <c r="BE190" s="1974"/>
    </row>
    <row r="191" spans="1:57" ht="15.75" customHeight="1" thickBot="1">
      <c r="A191" s="1208"/>
      <c r="B191" s="1208"/>
      <c r="C191" s="1978" t="s">
        <v>2251</v>
      </c>
      <c r="D191" s="1979"/>
      <c r="E191" s="1979"/>
      <c r="F191" s="1979"/>
      <c r="G191" s="1979"/>
      <c r="H191" s="1979"/>
      <c r="I191" s="1979"/>
      <c r="J191" s="1979"/>
      <c r="K191" s="1979"/>
      <c r="L191" s="1979"/>
      <c r="M191" s="1979"/>
      <c r="N191" s="1980">
        <f>(N180-N190)/J29</f>
        <v>394959.20129870129</v>
      </c>
      <c r="O191" s="1981"/>
      <c r="P191" s="1981"/>
      <c r="Q191" s="1981"/>
      <c r="R191" s="1981"/>
      <c r="S191" s="1981"/>
      <c r="T191" s="1982"/>
      <c r="U191" s="1216"/>
      <c r="V191" s="1208"/>
      <c r="W191" s="1208"/>
      <c r="X191" s="1208"/>
      <c r="Y191" s="1208"/>
      <c r="Z191" s="1208"/>
      <c r="AA191" s="1208"/>
      <c r="AB191" s="1208"/>
      <c r="AC191" s="1208"/>
      <c r="AD191" s="1208"/>
      <c r="AE191" s="1208"/>
      <c r="AF191" s="1208"/>
      <c r="AG191" s="1208"/>
      <c r="AH191" s="1975"/>
      <c r="AI191" s="1976"/>
      <c r="AJ191" s="1976"/>
      <c r="AK191" s="1976"/>
      <c r="AL191" s="1976"/>
      <c r="AM191" s="1976"/>
      <c r="AN191" s="1976"/>
      <c r="AO191" s="1976"/>
      <c r="AP191" s="1976"/>
      <c r="AQ191" s="1976"/>
      <c r="AR191" s="1976"/>
      <c r="AS191" s="1976"/>
      <c r="AT191" s="1976"/>
      <c r="AU191" s="1976"/>
      <c r="AV191" s="1976"/>
      <c r="AW191" s="1976"/>
      <c r="AX191" s="1976"/>
      <c r="AY191" s="1976"/>
      <c r="AZ191" s="1976"/>
      <c r="BA191" s="1976"/>
      <c r="BB191" s="1976"/>
      <c r="BC191" s="1976"/>
      <c r="BD191" s="1976"/>
      <c r="BE191" s="197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3"/>
      <c r="AI192" s="1983"/>
      <c r="AJ192" s="1983"/>
      <c r="AK192" s="1983"/>
      <c r="AL192" s="1983"/>
      <c r="AM192" s="1983"/>
      <c r="AN192" s="1983"/>
      <c r="AO192" s="1983"/>
      <c r="AP192" s="1983"/>
      <c r="AQ192" s="1983"/>
      <c r="AR192" s="1983"/>
      <c r="AS192" s="1984"/>
      <c r="AT192" s="1984"/>
      <c r="AU192" s="1984"/>
      <c r="AV192" s="1984"/>
      <c r="AW192" s="1984"/>
      <c r="AX192" s="1984"/>
      <c r="AY192" s="1984"/>
      <c r="AZ192" s="1984"/>
      <c r="BA192" s="1984"/>
      <c r="BB192" s="1984"/>
      <c r="BC192" s="1984"/>
      <c r="BD192" s="198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3" t="s">
        <v>2250</v>
      </c>
      <c r="D194" s="1964"/>
      <c r="E194" s="1964"/>
      <c r="F194" s="1964"/>
      <c r="G194" s="1964"/>
      <c r="H194" s="1964"/>
      <c r="I194" s="1964"/>
      <c r="J194" s="1964"/>
      <c r="K194" s="1964"/>
      <c r="L194" s="1964"/>
      <c r="M194" s="1964"/>
      <c r="N194" s="1964"/>
      <c r="O194" s="1964"/>
      <c r="P194" s="1964"/>
      <c r="Q194" s="1964"/>
      <c r="R194" s="1964"/>
      <c r="S194" s="1964"/>
      <c r="T194" s="1964"/>
      <c r="U194" s="1964"/>
      <c r="V194" s="1964"/>
      <c r="W194" s="1964"/>
      <c r="X194" s="1964"/>
      <c r="Y194" s="1964"/>
      <c r="Z194" s="1964"/>
      <c r="AA194" s="1964"/>
      <c r="AB194" s="1964"/>
      <c r="AC194" s="1964"/>
      <c r="AD194" s="1964"/>
      <c r="AE194" s="196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6" t="s">
        <v>2249</v>
      </c>
      <c r="D195" s="1966"/>
      <c r="E195" s="1966"/>
      <c r="F195" s="1966"/>
      <c r="G195" s="1966"/>
      <c r="H195" s="1966"/>
      <c r="I195" s="1966"/>
      <c r="J195" s="1966"/>
      <c r="K195" s="1966"/>
      <c r="L195" s="1966"/>
      <c r="M195" s="1966"/>
      <c r="N195" s="1966"/>
      <c r="O195" s="1967" t="s">
        <v>2248</v>
      </c>
      <c r="P195" s="1967"/>
      <c r="Q195" s="1967"/>
      <c r="R195" s="1967"/>
      <c r="S195" s="1967"/>
      <c r="T195" s="1967"/>
      <c r="U195" s="1967"/>
      <c r="V195" s="1967"/>
      <c r="W195" s="1967"/>
      <c r="X195" s="1967" t="s">
        <v>2247</v>
      </c>
      <c r="Y195" s="1967"/>
      <c r="Z195" s="1967"/>
      <c r="AA195" s="1967"/>
      <c r="AB195" s="1967"/>
      <c r="AC195" s="1967"/>
      <c r="AD195" s="1967"/>
      <c r="AE195" s="196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8" t="s">
        <v>2246</v>
      </c>
      <c r="D196" s="1958"/>
      <c r="E196" s="1958"/>
      <c r="F196" s="1958"/>
      <c r="G196" s="1958"/>
      <c r="H196" s="1958"/>
      <c r="I196" s="1958"/>
      <c r="J196" s="1958"/>
      <c r="K196" s="1958"/>
      <c r="L196" s="1958"/>
      <c r="M196" s="1958"/>
      <c r="N196" s="1958"/>
      <c r="O196" s="1959" t="s">
        <v>2245</v>
      </c>
      <c r="P196" s="1959"/>
      <c r="Q196" s="1959"/>
      <c r="R196" s="1959"/>
      <c r="S196" s="1959"/>
      <c r="T196" s="1959"/>
      <c r="U196" s="1959"/>
      <c r="V196" s="1959"/>
      <c r="W196" s="1959"/>
      <c r="X196" s="1960">
        <v>0.03</v>
      </c>
      <c r="Y196" s="1960"/>
      <c r="Z196" s="1960"/>
      <c r="AA196" s="1960"/>
      <c r="AB196" s="1960"/>
      <c r="AC196" s="1960"/>
      <c r="AD196" s="1960"/>
      <c r="AE196" s="196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8" t="s">
        <v>853</v>
      </c>
      <c r="D197" s="1958"/>
      <c r="E197" s="1958"/>
      <c r="F197" s="1958"/>
      <c r="G197" s="1958"/>
      <c r="H197" s="1958"/>
      <c r="I197" s="1958"/>
      <c r="J197" s="1958"/>
      <c r="K197" s="1958"/>
      <c r="L197" s="1958"/>
      <c r="M197" s="1958"/>
      <c r="N197" s="1958"/>
      <c r="O197" s="1959" t="s">
        <v>2245</v>
      </c>
      <c r="P197" s="1959"/>
      <c r="Q197" s="1959"/>
      <c r="R197" s="1959"/>
      <c r="S197" s="1959"/>
      <c r="T197" s="1959"/>
      <c r="U197" s="1959"/>
      <c r="V197" s="1959"/>
      <c r="W197" s="1959"/>
      <c r="X197" s="1960">
        <v>0.03</v>
      </c>
      <c r="Y197" s="1960"/>
      <c r="Z197" s="1960"/>
      <c r="AA197" s="1960"/>
      <c r="AB197" s="1960"/>
      <c r="AC197" s="1960"/>
      <c r="AD197" s="1960"/>
      <c r="AE197" s="196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8" t="s">
        <v>2244</v>
      </c>
      <c r="D198" s="1958"/>
      <c r="E198" s="1958"/>
      <c r="F198" s="1958"/>
      <c r="G198" s="1958"/>
      <c r="H198" s="1958"/>
      <c r="I198" s="1958"/>
      <c r="J198" s="1958"/>
      <c r="K198" s="1958"/>
      <c r="L198" s="1958"/>
      <c r="M198" s="1958"/>
      <c r="N198" s="1958"/>
      <c r="O198" s="1961">
        <f>SUM(O196:W197)</f>
        <v>0</v>
      </c>
      <c r="P198" s="1962"/>
      <c r="Q198" s="1962"/>
      <c r="R198" s="1962"/>
      <c r="S198" s="1962"/>
      <c r="T198" s="1962"/>
      <c r="U198" s="1962"/>
      <c r="V198" s="1962"/>
      <c r="W198" s="1962"/>
      <c r="X198" s="1962" t="s">
        <v>2243</v>
      </c>
      <c r="Y198" s="1962"/>
      <c r="Z198" s="1962"/>
      <c r="AA198" s="1962"/>
      <c r="AB198" s="1962"/>
      <c r="AC198" s="1962"/>
      <c r="AD198" s="1962"/>
      <c r="AE198" s="196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2" t="s">
        <v>2242</v>
      </c>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1932"/>
      <c r="AD199" s="1932"/>
      <c r="AE199" s="193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3" t="s">
        <v>2241</v>
      </c>
      <c r="D201" s="1934"/>
      <c r="E201" s="1934"/>
      <c r="F201" s="1934"/>
      <c r="G201" s="1934"/>
      <c r="H201" s="1934"/>
      <c r="I201" s="1934"/>
      <c r="J201" s="1934"/>
      <c r="K201" s="1934"/>
      <c r="L201" s="1934"/>
      <c r="M201" s="1934"/>
      <c r="N201" s="1934"/>
      <c r="O201" s="1934"/>
      <c r="P201" s="1934"/>
      <c r="Q201" s="1934"/>
      <c r="R201" s="1934"/>
      <c r="S201" s="1934"/>
      <c r="T201" s="1934"/>
      <c r="U201" s="1934"/>
      <c r="V201" s="1934"/>
      <c r="W201" s="1934"/>
      <c r="X201" s="1934"/>
      <c r="Y201" s="1934"/>
      <c r="Z201" s="1934"/>
      <c r="AA201" s="1934"/>
      <c r="AB201" s="1934"/>
      <c r="AC201" s="1934"/>
      <c r="AD201" s="1934"/>
      <c r="AE201" s="1934"/>
      <c r="AF201" s="1934"/>
      <c r="AG201" s="1934"/>
      <c r="AH201" s="1934"/>
      <c r="AI201" s="1934"/>
      <c r="AJ201" s="1934"/>
      <c r="AK201" s="193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6" t="s">
        <v>2240</v>
      </c>
      <c r="D202" s="1937"/>
      <c r="E202" s="1937"/>
      <c r="F202" s="1938"/>
      <c r="G202" s="1942" t="s">
        <v>2239</v>
      </c>
      <c r="H202" s="1937"/>
      <c r="I202" s="1937"/>
      <c r="J202" s="1937"/>
      <c r="K202" s="1937"/>
      <c r="L202" s="1937"/>
      <c r="M202" s="1937"/>
      <c r="N202" s="1937"/>
      <c r="O202" s="1938"/>
      <c r="P202" s="1944" t="s">
        <v>2238</v>
      </c>
      <c r="Q202" s="1945"/>
      <c r="R202" s="1945"/>
      <c r="S202" s="1945"/>
      <c r="T202" s="1946"/>
      <c r="U202" s="1950" t="s">
        <v>2237</v>
      </c>
      <c r="V202" s="1951"/>
      <c r="W202" s="1951"/>
      <c r="X202" s="1952"/>
      <c r="Y202" s="1950" t="s">
        <v>2236</v>
      </c>
      <c r="Z202" s="1951"/>
      <c r="AA202" s="1951"/>
      <c r="AB202" s="1952"/>
      <c r="AC202" s="1950" t="s">
        <v>2235</v>
      </c>
      <c r="AD202" s="1951"/>
      <c r="AE202" s="1951"/>
      <c r="AF202" s="1952"/>
      <c r="AG202" s="1942" t="s">
        <v>2234</v>
      </c>
      <c r="AH202" s="1937"/>
      <c r="AI202" s="1937"/>
      <c r="AJ202" s="1937"/>
      <c r="AK202" s="195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9"/>
      <c r="D203" s="1940"/>
      <c r="E203" s="1940"/>
      <c r="F203" s="1941"/>
      <c r="G203" s="1943"/>
      <c r="H203" s="1940"/>
      <c r="I203" s="1940"/>
      <c r="J203" s="1940"/>
      <c r="K203" s="1940"/>
      <c r="L203" s="1940"/>
      <c r="M203" s="1940"/>
      <c r="N203" s="1940"/>
      <c r="O203" s="1941"/>
      <c r="P203" s="1947"/>
      <c r="Q203" s="1948"/>
      <c r="R203" s="1948"/>
      <c r="S203" s="1948"/>
      <c r="T203" s="1949"/>
      <c r="U203" s="1953"/>
      <c r="V203" s="1954"/>
      <c r="W203" s="1954"/>
      <c r="X203" s="1955"/>
      <c r="Y203" s="1953"/>
      <c r="Z203" s="1954"/>
      <c r="AA203" s="1954"/>
      <c r="AB203" s="1955"/>
      <c r="AC203" s="1953"/>
      <c r="AD203" s="1954"/>
      <c r="AE203" s="1954"/>
      <c r="AF203" s="1955"/>
      <c r="AG203" s="1943"/>
      <c r="AH203" s="1940"/>
      <c r="AI203" s="1940"/>
      <c r="AJ203" s="1940"/>
      <c r="AK203" s="195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5">
        <v>1</v>
      </c>
      <c r="D204" s="1926"/>
      <c r="E204" s="1926"/>
      <c r="F204" s="1926"/>
      <c r="G204" s="1927" t="s">
        <v>1856</v>
      </c>
      <c r="H204" s="1927"/>
      <c r="I204" s="1927"/>
      <c r="J204" s="1927"/>
      <c r="K204" s="1927"/>
      <c r="L204" s="1927"/>
      <c r="M204" s="1927"/>
      <c r="N204" s="1927"/>
      <c r="O204" s="1927"/>
      <c r="P204" s="1928"/>
      <c r="Q204" s="1931"/>
      <c r="R204" s="1931"/>
      <c r="S204" s="1931"/>
      <c r="T204" s="1931"/>
      <c r="U204" s="1929" t="s">
        <v>1856</v>
      </c>
      <c r="V204" s="1929"/>
      <c r="W204" s="1929"/>
      <c r="X204" s="1929"/>
      <c r="Y204" s="1929" t="s">
        <v>1856</v>
      </c>
      <c r="Z204" s="1929"/>
      <c r="AA204" s="1929"/>
      <c r="AB204" s="1929"/>
      <c r="AC204" s="1930" t="s">
        <v>1856</v>
      </c>
      <c r="AD204" s="1930"/>
      <c r="AE204" s="1930"/>
      <c r="AF204" s="1930"/>
      <c r="AG204" s="1914"/>
      <c r="AH204" s="1915"/>
      <c r="AI204" s="1915"/>
      <c r="AJ204" s="1915"/>
      <c r="AK204" s="191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5">
        <v>2</v>
      </c>
      <c r="D205" s="1926"/>
      <c r="E205" s="1926"/>
      <c r="F205" s="1926"/>
      <c r="G205" s="1927" t="s">
        <v>1856</v>
      </c>
      <c r="H205" s="1927"/>
      <c r="I205" s="1927"/>
      <c r="J205" s="1927"/>
      <c r="K205" s="1927"/>
      <c r="L205" s="1927"/>
      <c r="M205" s="1927"/>
      <c r="N205" s="1927"/>
      <c r="O205" s="1927"/>
      <c r="P205" s="1928"/>
      <c r="Q205" s="1928"/>
      <c r="R205" s="1928"/>
      <c r="S205" s="1928"/>
      <c r="T205" s="1928"/>
      <c r="U205" s="1929" t="s">
        <v>1856</v>
      </c>
      <c r="V205" s="1929"/>
      <c r="W205" s="1929"/>
      <c r="X205" s="1929"/>
      <c r="Y205" s="1929" t="s">
        <v>1856</v>
      </c>
      <c r="Z205" s="1929"/>
      <c r="AA205" s="1929"/>
      <c r="AB205" s="1929"/>
      <c r="AC205" s="1930" t="s">
        <v>1856</v>
      </c>
      <c r="AD205" s="1930"/>
      <c r="AE205" s="1930"/>
      <c r="AF205" s="1930"/>
      <c r="AG205" s="1914"/>
      <c r="AH205" s="1915"/>
      <c r="AI205" s="1915"/>
      <c r="AJ205" s="1915"/>
      <c r="AK205" s="191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5">
        <v>3</v>
      </c>
      <c r="D206" s="1926"/>
      <c r="E206" s="1926"/>
      <c r="F206" s="1926"/>
      <c r="G206" s="1927" t="s">
        <v>1856</v>
      </c>
      <c r="H206" s="1927"/>
      <c r="I206" s="1927"/>
      <c r="J206" s="1927"/>
      <c r="K206" s="1927"/>
      <c r="L206" s="1927"/>
      <c r="M206" s="1927"/>
      <c r="N206" s="1927"/>
      <c r="O206" s="1927"/>
      <c r="P206" s="1928"/>
      <c r="Q206" s="1928"/>
      <c r="R206" s="1928"/>
      <c r="S206" s="1928"/>
      <c r="T206" s="1928"/>
      <c r="U206" s="1929" t="s">
        <v>1856</v>
      </c>
      <c r="V206" s="1929"/>
      <c r="W206" s="1929"/>
      <c r="X206" s="1929"/>
      <c r="Y206" s="1929" t="s">
        <v>1856</v>
      </c>
      <c r="Z206" s="1929"/>
      <c r="AA206" s="1929"/>
      <c r="AB206" s="1929"/>
      <c r="AC206" s="1930" t="s">
        <v>1856</v>
      </c>
      <c r="AD206" s="1930"/>
      <c r="AE206" s="1930"/>
      <c r="AF206" s="1930"/>
      <c r="AG206" s="1914"/>
      <c r="AH206" s="1915"/>
      <c r="AI206" s="1915"/>
      <c r="AJ206" s="1915"/>
      <c r="AK206" s="191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5">
        <v>4</v>
      </c>
      <c r="D207" s="1926"/>
      <c r="E207" s="1926"/>
      <c r="F207" s="1926"/>
      <c r="G207" s="1927" t="s">
        <v>1856</v>
      </c>
      <c r="H207" s="1927"/>
      <c r="I207" s="1927"/>
      <c r="J207" s="1927"/>
      <c r="K207" s="1927"/>
      <c r="L207" s="1927"/>
      <c r="M207" s="1927"/>
      <c r="N207" s="1927"/>
      <c r="O207" s="1927"/>
      <c r="P207" s="1928"/>
      <c r="Q207" s="1928"/>
      <c r="R207" s="1928"/>
      <c r="S207" s="1928"/>
      <c r="T207" s="1928"/>
      <c r="U207" s="1929" t="s">
        <v>1856</v>
      </c>
      <c r="V207" s="1929"/>
      <c r="W207" s="1929"/>
      <c r="X207" s="1929"/>
      <c r="Y207" s="1929" t="s">
        <v>1856</v>
      </c>
      <c r="Z207" s="1929"/>
      <c r="AA207" s="1929"/>
      <c r="AB207" s="1929"/>
      <c r="AC207" s="1930" t="s">
        <v>1856</v>
      </c>
      <c r="AD207" s="1930"/>
      <c r="AE207" s="1930"/>
      <c r="AF207" s="1930"/>
      <c r="AG207" s="1914"/>
      <c r="AH207" s="1915"/>
      <c r="AI207" s="1915"/>
      <c r="AJ207" s="1915"/>
      <c r="AK207" s="191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5">
        <v>5</v>
      </c>
      <c r="D208" s="1926"/>
      <c r="E208" s="1926"/>
      <c r="F208" s="1926"/>
      <c r="G208" s="1927" t="s">
        <v>1856</v>
      </c>
      <c r="H208" s="1927"/>
      <c r="I208" s="1927"/>
      <c r="J208" s="1927"/>
      <c r="K208" s="1927"/>
      <c r="L208" s="1927"/>
      <c r="M208" s="1927"/>
      <c r="N208" s="1927"/>
      <c r="O208" s="1927"/>
      <c r="P208" s="1928"/>
      <c r="Q208" s="1928"/>
      <c r="R208" s="1928"/>
      <c r="S208" s="1928"/>
      <c r="T208" s="1928"/>
      <c r="U208" s="1929" t="s">
        <v>1856</v>
      </c>
      <c r="V208" s="1929"/>
      <c r="W208" s="1929"/>
      <c r="X208" s="1929"/>
      <c r="Y208" s="1929" t="s">
        <v>1856</v>
      </c>
      <c r="Z208" s="1929"/>
      <c r="AA208" s="1929"/>
      <c r="AB208" s="1929"/>
      <c r="AC208" s="1930" t="s">
        <v>1856</v>
      </c>
      <c r="AD208" s="1930"/>
      <c r="AE208" s="1930"/>
      <c r="AF208" s="1930"/>
      <c r="AG208" s="1914"/>
      <c r="AH208" s="1915"/>
      <c r="AI208" s="1915"/>
      <c r="AJ208" s="1915"/>
      <c r="AK208" s="191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5">
        <v>6</v>
      </c>
      <c r="D209" s="1926"/>
      <c r="E209" s="1926"/>
      <c r="F209" s="1926"/>
      <c r="G209" s="1927" t="s">
        <v>1856</v>
      </c>
      <c r="H209" s="1927"/>
      <c r="I209" s="1927"/>
      <c r="J209" s="1927"/>
      <c r="K209" s="1927"/>
      <c r="L209" s="1927"/>
      <c r="M209" s="1927"/>
      <c r="N209" s="1927"/>
      <c r="O209" s="1927"/>
      <c r="P209" s="1928"/>
      <c r="Q209" s="1928"/>
      <c r="R209" s="1928"/>
      <c r="S209" s="1928"/>
      <c r="T209" s="1928"/>
      <c r="U209" s="1929"/>
      <c r="V209" s="1929"/>
      <c r="W209" s="1929"/>
      <c r="X209" s="1929"/>
      <c r="Y209" s="1929"/>
      <c r="Z209" s="1929"/>
      <c r="AA209" s="1929"/>
      <c r="AB209" s="1929"/>
      <c r="AC209" s="1930" t="s">
        <v>1856</v>
      </c>
      <c r="AD209" s="1930"/>
      <c r="AE209" s="1930"/>
      <c r="AF209" s="1930"/>
      <c r="AG209" s="1914"/>
      <c r="AH209" s="1915"/>
      <c r="AI209" s="1915"/>
      <c r="AJ209" s="1915"/>
      <c r="AK209" s="191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5">
        <v>7</v>
      </c>
      <c r="D210" s="1926"/>
      <c r="E210" s="1926"/>
      <c r="F210" s="1926"/>
      <c r="G210" s="1927"/>
      <c r="H210" s="1927"/>
      <c r="I210" s="1927"/>
      <c r="J210" s="1927"/>
      <c r="K210" s="1927"/>
      <c r="L210" s="1927"/>
      <c r="M210" s="1927"/>
      <c r="N210" s="1927"/>
      <c r="O210" s="1927"/>
      <c r="P210" s="1928"/>
      <c r="Q210" s="1928"/>
      <c r="R210" s="1928"/>
      <c r="S210" s="1928"/>
      <c r="T210" s="1928"/>
      <c r="U210" s="1929"/>
      <c r="V210" s="1929"/>
      <c r="W210" s="1929"/>
      <c r="X210" s="1929"/>
      <c r="Y210" s="1929"/>
      <c r="Z210" s="1929"/>
      <c r="AA210" s="1929"/>
      <c r="AB210" s="1929"/>
      <c r="AC210" s="1930" t="s">
        <v>1856</v>
      </c>
      <c r="AD210" s="1930"/>
      <c r="AE210" s="1930"/>
      <c r="AF210" s="1930"/>
      <c r="AG210" s="1914"/>
      <c r="AH210" s="1915"/>
      <c r="AI210" s="1915"/>
      <c r="AJ210" s="1915"/>
      <c r="AK210" s="191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7" t="s">
        <v>2233</v>
      </c>
      <c r="D211" s="1918"/>
      <c r="E211" s="1918"/>
      <c r="F211" s="1918"/>
      <c r="G211" s="1918"/>
      <c r="H211" s="1918"/>
      <c r="I211" s="1918"/>
      <c r="J211" s="1918"/>
      <c r="K211" s="1918"/>
      <c r="L211" s="1918"/>
      <c r="M211" s="1918"/>
      <c r="N211" s="1918"/>
      <c r="O211" s="1918"/>
      <c r="P211" s="1919"/>
      <c r="Q211" s="1919"/>
      <c r="R211" s="1919"/>
      <c r="S211" s="1919"/>
      <c r="T211" s="1919"/>
      <c r="U211" s="1920">
        <f>-SUM(U204:U210)</f>
        <v>0</v>
      </c>
      <c r="V211" s="1920"/>
      <c r="W211" s="1920"/>
      <c r="X211" s="1920"/>
      <c r="Y211" s="1920">
        <f>-SUM(Y204:Y210)</f>
        <v>0</v>
      </c>
      <c r="Z211" s="1920"/>
      <c r="AA211" s="1920"/>
      <c r="AB211" s="1920"/>
      <c r="AC211" s="1921">
        <f>-SUM(AC204:AC210)</f>
        <v>0</v>
      </c>
      <c r="AD211" s="1921"/>
      <c r="AE211" s="1921"/>
      <c r="AF211" s="1921"/>
      <c r="AG211" s="1922"/>
      <c r="AH211" s="1923"/>
      <c r="AI211" s="1923"/>
      <c r="AJ211" s="1923"/>
      <c r="AK211" s="192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1" t="s">
        <v>2231</v>
      </c>
      <c r="C216" s="1902"/>
      <c r="D216" s="1902"/>
      <c r="E216" s="1902"/>
      <c r="F216" s="1902"/>
      <c r="G216" s="1902"/>
      <c r="H216" s="1902"/>
      <c r="I216" s="1902"/>
      <c r="J216" s="1902"/>
      <c r="K216" s="1902"/>
      <c r="L216" s="1902"/>
      <c r="M216" s="1902"/>
      <c r="N216" s="1902"/>
      <c r="O216" s="1902"/>
      <c r="P216" s="1902"/>
      <c r="Q216" s="1902"/>
      <c r="R216" s="1902"/>
      <c r="S216" s="1902"/>
      <c r="T216" s="1902"/>
      <c r="U216" s="1902"/>
      <c r="V216" s="1902"/>
      <c r="W216" s="1902"/>
      <c r="X216" s="1902"/>
      <c r="Y216" s="1902"/>
      <c r="Z216" s="1902"/>
      <c r="AA216" s="1902"/>
      <c r="AB216" s="1902"/>
      <c r="AC216" s="1902"/>
      <c r="AD216" s="1902"/>
      <c r="AE216" s="1902"/>
      <c r="AF216" s="1902"/>
      <c r="AG216" s="1902"/>
      <c r="AH216" s="1902"/>
      <c r="AI216" s="1902"/>
      <c r="AJ216" s="1902"/>
      <c r="AK216" s="1902"/>
      <c r="AL216" s="1902"/>
      <c r="AM216" s="1902"/>
      <c r="AN216" s="1902"/>
      <c r="AO216" s="1902"/>
      <c r="AP216" s="1902"/>
      <c r="AQ216" s="1902"/>
      <c r="AR216" s="1902"/>
      <c r="AS216" s="1902"/>
      <c r="AT216" s="1902"/>
      <c r="AU216" s="1902"/>
      <c r="AV216" s="1902"/>
      <c r="AW216" s="1902"/>
      <c r="AX216" s="1902"/>
      <c r="AY216" s="1902"/>
      <c r="AZ216" s="1902"/>
      <c r="BA216" s="1902"/>
      <c r="BB216" s="1902"/>
      <c r="BC216" s="1902"/>
      <c r="BD216" s="1903"/>
      <c r="BE216" s="1215"/>
    </row>
    <row r="217" spans="1:57" ht="15.75" customHeight="1">
      <c r="A217" s="1208"/>
      <c r="B217" s="1904"/>
      <c r="C217" s="1905"/>
      <c r="D217" s="1905"/>
      <c r="E217" s="1905"/>
      <c r="F217" s="1905"/>
      <c r="G217" s="1905"/>
      <c r="H217" s="1905"/>
      <c r="I217" s="1905"/>
      <c r="J217" s="1905"/>
      <c r="K217" s="1905"/>
      <c r="L217" s="1905"/>
      <c r="M217" s="1905"/>
      <c r="N217" s="1905"/>
      <c r="O217" s="1905"/>
      <c r="P217" s="1905"/>
      <c r="Q217" s="1905"/>
      <c r="R217" s="1905"/>
      <c r="S217" s="1905"/>
      <c r="T217" s="1905"/>
      <c r="U217" s="1905"/>
      <c r="V217" s="1905"/>
      <c r="W217" s="1905"/>
      <c r="X217" s="1905"/>
      <c r="Y217" s="1905"/>
      <c r="Z217" s="1905"/>
      <c r="AA217" s="1905"/>
      <c r="AB217" s="1905"/>
      <c r="AC217" s="1905"/>
      <c r="AD217" s="1905"/>
      <c r="AE217" s="1905"/>
      <c r="AF217" s="1905"/>
      <c r="AG217" s="1905"/>
      <c r="AH217" s="1905"/>
      <c r="AI217" s="1905"/>
      <c r="AJ217" s="1905"/>
      <c r="AK217" s="1905"/>
      <c r="AL217" s="1905"/>
      <c r="AM217" s="1905"/>
      <c r="AN217" s="1905"/>
      <c r="AO217" s="1905"/>
      <c r="AP217" s="1905"/>
      <c r="AQ217" s="1905"/>
      <c r="AR217" s="1905"/>
      <c r="AS217" s="1905"/>
      <c r="AT217" s="1905"/>
      <c r="AU217" s="1905"/>
      <c r="AV217" s="1905"/>
      <c r="AW217" s="1905"/>
      <c r="AX217" s="1905"/>
      <c r="AY217" s="1905"/>
      <c r="AZ217" s="1905"/>
      <c r="BA217" s="1905"/>
      <c r="BB217" s="1905"/>
      <c r="BC217" s="1905"/>
      <c r="BD217" s="1906"/>
      <c r="BE217" s="1215"/>
    </row>
    <row r="218" spans="1:57" ht="15.75" customHeight="1">
      <c r="A218" s="1208"/>
      <c r="B218" s="1907" t="s">
        <v>2230</v>
      </c>
      <c r="C218" s="1908"/>
      <c r="D218" s="1908"/>
      <c r="E218" s="1908"/>
      <c r="F218" s="1908"/>
      <c r="G218" s="1908"/>
      <c r="H218" s="1908"/>
      <c r="I218" s="1908"/>
      <c r="J218" s="1908"/>
      <c r="K218" s="1908"/>
      <c r="L218" s="1908"/>
      <c r="M218" s="1908"/>
      <c r="N218" s="1908"/>
      <c r="O218" s="1908"/>
      <c r="P218" s="1908"/>
      <c r="Q218" s="1908"/>
      <c r="R218" s="1908"/>
      <c r="S218" s="1908"/>
      <c r="T218" s="1908"/>
      <c r="U218" s="1908"/>
      <c r="V218" s="1908"/>
      <c r="W218" s="1908"/>
      <c r="X218" s="1908"/>
      <c r="Y218" s="1908"/>
      <c r="Z218" s="1908"/>
      <c r="AA218" s="1908"/>
      <c r="AB218" s="1908"/>
      <c r="AC218" s="1908"/>
      <c r="AD218" s="1908"/>
      <c r="AE218" s="1908"/>
      <c r="AF218" s="1908"/>
      <c r="AG218" s="1908"/>
      <c r="AH218" s="1908"/>
      <c r="AI218" s="1908"/>
      <c r="AJ218" s="1908"/>
      <c r="AK218" s="1908"/>
      <c r="AL218" s="1908"/>
      <c r="AM218" s="1908"/>
      <c r="AN218" s="1908"/>
      <c r="AO218" s="1908"/>
      <c r="AP218" s="1908"/>
      <c r="AQ218" s="1908"/>
      <c r="AR218" s="1908"/>
      <c r="AS218" s="1908"/>
      <c r="AT218" s="1908"/>
      <c r="AU218" s="1908"/>
      <c r="AV218" s="1908"/>
      <c r="AW218" s="1908"/>
      <c r="AX218" s="1908"/>
      <c r="AY218" s="1908"/>
      <c r="AZ218" s="1908"/>
      <c r="BA218" s="1908"/>
      <c r="BB218" s="1908"/>
      <c r="BC218" s="1908"/>
      <c r="BD218" s="1909"/>
      <c r="BE218" s="1215"/>
    </row>
    <row r="219" spans="1:57" ht="15.75" customHeight="1">
      <c r="A219" s="1208"/>
      <c r="B219" s="1907" t="s">
        <v>2229</v>
      </c>
      <c r="C219" s="1908"/>
      <c r="D219" s="1908"/>
      <c r="E219" s="1908"/>
      <c r="F219" s="1908"/>
      <c r="G219" s="1908"/>
      <c r="H219" s="1908"/>
      <c r="I219" s="1908"/>
      <c r="J219" s="1908"/>
      <c r="K219" s="1908"/>
      <c r="L219" s="1908"/>
      <c r="M219" s="1908"/>
      <c r="N219" s="1908"/>
      <c r="O219" s="1908"/>
      <c r="P219" s="1908"/>
      <c r="Q219" s="1908"/>
      <c r="R219" s="1908"/>
      <c r="S219" s="1908"/>
      <c r="T219" s="1908"/>
      <c r="U219" s="1908"/>
      <c r="V219" s="1908"/>
      <c r="W219" s="1908"/>
      <c r="X219" s="1908"/>
      <c r="Y219" s="1908"/>
      <c r="Z219" s="1908"/>
      <c r="AA219" s="1908"/>
      <c r="AB219" s="1908"/>
      <c r="AC219" s="1908"/>
      <c r="AD219" s="1908"/>
      <c r="AE219" s="1908"/>
      <c r="AF219" s="1908"/>
      <c r="AG219" s="1908"/>
      <c r="AH219" s="1908"/>
      <c r="AI219" s="1908"/>
      <c r="AJ219" s="1908"/>
      <c r="AK219" s="1908"/>
      <c r="AL219" s="1908"/>
      <c r="AM219" s="1908"/>
      <c r="AN219" s="1908"/>
      <c r="AO219" s="1908"/>
      <c r="AP219" s="1908"/>
      <c r="AQ219" s="1908"/>
      <c r="AR219" s="1908"/>
      <c r="AS219" s="1908"/>
      <c r="AT219" s="1908"/>
      <c r="AU219" s="1908"/>
      <c r="AV219" s="1908"/>
      <c r="AW219" s="1908"/>
      <c r="AX219" s="1908"/>
      <c r="AY219" s="1908"/>
      <c r="AZ219" s="1908"/>
      <c r="BA219" s="1908"/>
      <c r="BB219" s="1908"/>
      <c r="BC219" s="1908"/>
      <c r="BD219" s="190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0" t="s">
        <v>2228</v>
      </c>
      <c r="C221" s="1911"/>
      <c r="D221" s="1911"/>
      <c r="E221" s="1911"/>
      <c r="F221" s="1911"/>
      <c r="G221" s="1911"/>
      <c r="H221" s="1911"/>
      <c r="I221" s="1911"/>
      <c r="J221" s="1911"/>
      <c r="K221" s="1911"/>
      <c r="L221" s="1911"/>
      <c r="M221" s="1911"/>
      <c r="N221" s="1911"/>
      <c r="O221" s="1911"/>
      <c r="P221" s="1911"/>
      <c r="Q221" s="1911"/>
      <c r="R221" s="1911"/>
      <c r="S221" s="1911"/>
      <c r="T221" s="1911"/>
      <c r="U221" s="1911"/>
      <c r="V221" s="1911"/>
      <c r="W221" s="1911"/>
      <c r="X221" s="1911"/>
      <c r="Y221" s="1911"/>
      <c r="Z221" s="1911"/>
      <c r="AA221" s="1911"/>
      <c r="AB221" s="1911"/>
      <c r="AC221" s="1911"/>
      <c r="AD221" s="1911"/>
      <c r="AE221" s="1911"/>
      <c r="AF221" s="1911"/>
      <c r="AG221" s="1911"/>
      <c r="AH221" s="1911"/>
      <c r="AI221" s="1911"/>
      <c r="AJ221" s="1911"/>
      <c r="AK221" s="1911"/>
      <c r="AL221" s="1911"/>
      <c r="AM221" s="1911"/>
      <c r="AN221" s="1911"/>
      <c r="AO221" s="1911"/>
      <c r="AP221" s="1911"/>
      <c r="AQ221" s="1911"/>
      <c r="AR221" s="1911"/>
      <c r="AS221" s="1911"/>
      <c r="AT221" s="1911"/>
      <c r="AU221" s="1911"/>
      <c r="AV221" s="1911"/>
      <c r="AW221" s="1911"/>
      <c r="AX221" s="1911"/>
      <c r="AY221" s="1911"/>
      <c r="AZ221" s="1911"/>
      <c r="BA221" s="1911"/>
      <c r="BB221" s="1911"/>
      <c r="BC221" s="1911"/>
      <c r="BD221" s="191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3" t="s">
        <v>2226</v>
      </c>
      <c r="I225" s="1913"/>
      <c r="J225" s="1913"/>
      <c r="K225" s="1913"/>
      <c r="L225" s="1913"/>
      <c r="M225" s="1913"/>
      <c r="N225" s="1913"/>
      <c r="O225" s="1913"/>
      <c r="P225" s="1913"/>
      <c r="Q225" s="1913"/>
      <c r="R225" s="1913"/>
      <c r="S225" s="1913"/>
      <c r="T225" s="1913"/>
      <c r="U225" s="1913"/>
      <c r="V225" s="1913"/>
      <c r="W225" s="1913"/>
      <c r="X225" s="1913"/>
      <c r="Y225" s="1913"/>
      <c r="Z225" s="1913"/>
      <c r="AA225" s="1913"/>
      <c r="AB225" s="1913"/>
      <c r="AC225" s="1913"/>
      <c r="AD225" s="1913"/>
      <c r="AE225" s="1913"/>
      <c r="AF225" s="1913"/>
      <c r="AG225" s="1913"/>
      <c r="AH225" s="1913"/>
      <c r="AI225" s="1913"/>
      <c r="AJ225" s="1913"/>
      <c r="AK225" s="1913"/>
      <c r="AL225" s="1913"/>
      <c r="AM225" s="1913"/>
      <c r="AN225" s="1913"/>
      <c r="AO225" s="1913"/>
      <c r="AP225" s="1913"/>
      <c r="AQ225" s="1913"/>
      <c r="AR225" s="1913"/>
      <c r="AS225" s="1913"/>
      <c r="AT225" s="1913"/>
      <c r="AU225" s="1913"/>
      <c r="AV225" s="1913"/>
      <c r="AW225" s="1913"/>
      <c r="AX225" s="1913"/>
      <c r="AY225" s="191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6" t="s">
        <v>2225</v>
      </c>
      <c r="I227" s="1896"/>
      <c r="J227" s="1896"/>
      <c r="K227" s="1896"/>
      <c r="L227" s="1896"/>
      <c r="M227" s="1896"/>
      <c r="N227" s="1896"/>
      <c r="O227" s="1896"/>
      <c r="P227" s="1896"/>
      <c r="Q227" s="1896"/>
      <c r="R227" s="1896"/>
      <c r="S227" s="1896"/>
      <c r="T227" s="1896"/>
      <c r="U227" s="1896"/>
      <c r="V227" s="1896"/>
      <c r="W227" s="1896"/>
      <c r="X227" s="1896"/>
      <c r="Y227" s="1896"/>
      <c r="Z227" s="1896"/>
      <c r="AA227" s="1896"/>
      <c r="AB227" s="1896"/>
      <c r="AC227" s="1896"/>
      <c r="AD227" s="1896"/>
      <c r="AE227" s="1896"/>
      <c r="AF227" s="1896"/>
      <c r="AG227" s="1896"/>
      <c r="AH227" s="1896"/>
      <c r="AI227" s="1896"/>
      <c r="AJ227" s="1896"/>
      <c r="AK227" s="1896"/>
      <c r="AL227" s="1896"/>
      <c r="AM227" s="1896"/>
      <c r="AN227" s="1896"/>
      <c r="AO227" s="1896"/>
      <c r="AP227" s="1896"/>
      <c r="AQ227" s="1896"/>
      <c r="AR227" s="1896"/>
      <c r="AS227" s="1896"/>
      <c r="AT227" s="1896"/>
      <c r="AU227" s="1896"/>
      <c r="AV227" s="1896"/>
      <c r="AW227" s="1896"/>
      <c r="AX227" s="1896"/>
      <c r="AY227" s="1896"/>
      <c r="AZ227" s="1896"/>
      <c r="BA227" s="1208"/>
      <c r="BB227" s="1208"/>
      <c r="BC227" s="1208"/>
      <c r="BD227" s="1215"/>
      <c r="BE227" s="1215"/>
    </row>
    <row r="228" spans="1:57" ht="15.75" customHeight="1">
      <c r="A228" s="1208"/>
      <c r="B228" s="1207"/>
      <c r="C228" s="1208"/>
      <c r="D228" s="1208"/>
      <c r="E228" s="1208"/>
      <c r="F228" s="1208"/>
      <c r="G228" s="1208"/>
      <c r="H228" s="1896"/>
      <c r="I228" s="1896"/>
      <c r="J228" s="1896"/>
      <c r="K228" s="1896"/>
      <c r="L228" s="1896"/>
      <c r="M228" s="1896"/>
      <c r="N228" s="1896"/>
      <c r="O228" s="1896"/>
      <c r="P228" s="1896"/>
      <c r="Q228" s="1896"/>
      <c r="R228" s="1896"/>
      <c r="S228" s="1896"/>
      <c r="T228" s="1896"/>
      <c r="U228" s="1896"/>
      <c r="V228" s="1896"/>
      <c r="W228" s="1896"/>
      <c r="X228" s="1896"/>
      <c r="Y228" s="1896"/>
      <c r="Z228" s="1896"/>
      <c r="AA228" s="1896"/>
      <c r="AB228" s="1896"/>
      <c r="AC228" s="1896"/>
      <c r="AD228" s="1896"/>
      <c r="AE228" s="1896"/>
      <c r="AF228" s="1896"/>
      <c r="AG228" s="1896"/>
      <c r="AH228" s="1896"/>
      <c r="AI228" s="1896"/>
      <c r="AJ228" s="1896"/>
      <c r="AK228" s="1896"/>
      <c r="AL228" s="1896"/>
      <c r="AM228" s="1896"/>
      <c r="AN228" s="1896"/>
      <c r="AO228" s="1896"/>
      <c r="AP228" s="1896"/>
      <c r="AQ228" s="1896"/>
      <c r="AR228" s="1896"/>
      <c r="AS228" s="1896"/>
      <c r="AT228" s="1896"/>
      <c r="AU228" s="1896"/>
      <c r="AV228" s="1896"/>
      <c r="AW228" s="1896"/>
      <c r="AX228" s="1896"/>
      <c r="AY228" s="1896"/>
      <c r="AZ228" s="1896"/>
      <c r="BA228" s="1208"/>
      <c r="BB228" s="1208"/>
      <c r="BC228" s="1208"/>
      <c r="BD228" s="1215"/>
      <c r="BE228" s="1215"/>
    </row>
    <row r="229" spans="1:57" ht="15.75" customHeight="1">
      <c r="A229" s="1208"/>
      <c r="B229" s="1207"/>
      <c r="C229" s="1208"/>
      <c r="D229" s="1208"/>
      <c r="E229" s="1208"/>
      <c r="F229" s="1208"/>
      <c r="G229" s="1208"/>
      <c r="H229" s="1896"/>
      <c r="I229" s="1896"/>
      <c r="J229" s="1896"/>
      <c r="K229" s="1896"/>
      <c r="L229" s="1896"/>
      <c r="M229" s="1896"/>
      <c r="N229" s="1896"/>
      <c r="O229" s="1896"/>
      <c r="P229" s="1896"/>
      <c r="Q229" s="1896"/>
      <c r="R229" s="1896"/>
      <c r="S229" s="1896"/>
      <c r="T229" s="1896"/>
      <c r="U229" s="1896"/>
      <c r="V229" s="1896"/>
      <c r="W229" s="1896"/>
      <c r="X229" s="1896"/>
      <c r="Y229" s="1896"/>
      <c r="Z229" s="1896"/>
      <c r="AA229" s="1896"/>
      <c r="AB229" s="1896"/>
      <c r="AC229" s="1896"/>
      <c r="AD229" s="1896"/>
      <c r="AE229" s="1896"/>
      <c r="AF229" s="1896"/>
      <c r="AG229" s="1896"/>
      <c r="AH229" s="1896"/>
      <c r="AI229" s="1896"/>
      <c r="AJ229" s="1896"/>
      <c r="AK229" s="1896"/>
      <c r="AL229" s="1896"/>
      <c r="AM229" s="1896"/>
      <c r="AN229" s="1896"/>
      <c r="AO229" s="1896"/>
      <c r="AP229" s="1896"/>
      <c r="AQ229" s="1896"/>
      <c r="AR229" s="1896"/>
      <c r="AS229" s="1896"/>
      <c r="AT229" s="1896"/>
      <c r="AU229" s="1896"/>
      <c r="AV229" s="1896"/>
      <c r="AW229" s="1896"/>
      <c r="AX229" s="1896"/>
      <c r="AY229" s="1896"/>
      <c r="AZ229" s="1896"/>
      <c r="BA229" s="1208"/>
      <c r="BB229" s="1208"/>
      <c r="BC229" s="1208"/>
      <c r="BD229" s="1215"/>
      <c r="BE229" s="1215"/>
    </row>
    <row r="230" spans="1:57" ht="15.75" customHeight="1">
      <c r="A230" s="1208"/>
      <c r="B230" s="1207"/>
      <c r="C230" s="1208"/>
      <c r="D230" s="1208"/>
      <c r="E230" s="1208"/>
      <c r="F230" s="1208"/>
      <c r="G230" s="1208"/>
      <c r="H230" s="1896"/>
      <c r="I230" s="1896"/>
      <c r="J230" s="1896"/>
      <c r="K230" s="1896"/>
      <c r="L230" s="1896"/>
      <c r="M230" s="1896"/>
      <c r="N230" s="1896"/>
      <c r="O230" s="1896"/>
      <c r="P230" s="1896"/>
      <c r="Q230" s="1896"/>
      <c r="R230" s="1896"/>
      <c r="S230" s="1896"/>
      <c r="T230" s="1896"/>
      <c r="U230" s="1896"/>
      <c r="V230" s="1896"/>
      <c r="W230" s="1896"/>
      <c r="X230" s="1896"/>
      <c r="Y230" s="1896"/>
      <c r="Z230" s="1896"/>
      <c r="AA230" s="1896"/>
      <c r="AB230" s="1896"/>
      <c r="AC230" s="1896"/>
      <c r="AD230" s="1896"/>
      <c r="AE230" s="1896"/>
      <c r="AF230" s="1896"/>
      <c r="AG230" s="1896"/>
      <c r="AH230" s="1896"/>
      <c r="AI230" s="1896"/>
      <c r="AJ230" s="1896"/>
      <c r="AK230" s="1896"/>
      <c r="AL230" s="1896"/>
      <c r="AM230" s="1896"/>
      <c r="AN230" s="1896"/>
      <c r="AO230" s="1896"/>
      <c r="AP230" s="1896"/>
      <c r="AQ230" s="1896"/>
      <c r="AR230" s="1896"/>
      <c r="AS230" s="1896"/>
      <c r="AT230" s="1896"/>
      <c r="AU230" s="1896"/>
      <c r="AV230" s="1896"/>
      <c r="AW230" s="1896"/>
      <c r="AX230" s="1896"/>
      <c r="AY230" s="1896"/>
      <c r="AZ230" s="189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7" t="s">
        <v>2224</v>
      </c>
      <c r="I232" s="1897"/>
      <c r="J232" s="1897"/>
      <c r="K232" s="1897"/>
      <c r="L232" s="1897"/>
      <c r="M232" s="1897"/>
      <c r="N232" s="1897"/>
      <c r="O232" s="1897"/>
      <c r="P232" s="1897"/>
      <c r="Q232" s="1897"/>
      <c r="R232" s="1897"/>
      <c r="S232" s="1897"/>
      <c r="T232" s="1897"/>
      <c r="U232" s="1897"/>
      <c r="V232" s="1897"/>
      <c r="W232" s="1897"/>
      <c r="X232" s="1897"/>
      <c r="Y232" s="1897"/>
      <c r="Z232" s="1897"/>
      <c r="AA232" s="1897"/>
      <c r="AB232" s="1897"/>
      <c r="AC232" s="1897"/>
      <c r="AD232" s="1897"/>
      <c r="AE232" s="1897"/>
      <c r="AF232" s="1897"/>
      <c r="AG232" s="1897"/>
      <c r="AH232" s="1897"/>
      <c r="AI232" s="1897"/>
      <c r="AJ232" s="1897"/>
      <c r="AK232" s="1897"/>
      <c r="AL232" s="1897"/>
      <c r="AM232" s="1897"/>
      <c r="AN232" s="1897"/>
      <c r="AO232" s="1897"/>
      <c r="AP232" s="1897"/>
      <c r="AQ232" s="1897"/>
      <c r="AR232" s="1897"/>
      <c r="AS232" s="1897"/>
      <c r="AT232" s="1897"/>
      <c r="AU232" s="1897"/>
      <c r="AV232" s="189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7" t="s">
        <v>2223</v>
      </c>
      <c r="I234" s="1887"/>
      <c r="J234" s="1887"/>
      <c r="K234" s="1887"/>
      <c r="L234" s="1259"/>
      <c r="M234" s="1259"/>
      <c r="N234" s="1259"/>
      <c r="O234" s="1259"/>
      <c r="P234" s="1259"/>
      <c r="Q234" s="1259"/>
      <c r="R234" s="1259"/>
      <c r="S234" s="1898"/>
      <c r="T234" s="1899"/>
      <c r="U234" s="1899"/>
      <c r="V234" s="1899"/>
      <c r="W234" s="1899"/>
      <c r="X234" s="1899"/>
      <c r="Y234" s="1899"/>
      <c r="Z234" s="1899"/>
      <c r="AA234" s="1899"/>
      <c r="AB234" s="1899"/>
      <c r="AC234" s="1899"/>
      <c r="AD234" s="1899"/>
      <c r="AE234" s="1899"/>
      <c r="AF234" s="1899"/>
      <c r="AG234" s="1899"/>
      <c r="AH234" s="1899"/>
      <c r="AI234" s="1899"/>
      <c r="AJ234" s="190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7" t="s">
        <v>2222</v>
      </c>
      <c r="I236" s="1887"/>
      <c r="J236" s="1887"/>
      <c r="K236" s="1261"/>
      <c r="L236" s="1259"/>
      <c r="M236" s="1259"/>
      <c r="N236" s="1259"/>
      <c r="O236" s="1259"/>
      <c r="P236" s="1259"/>
      <c r="Q236" s="1259"/>
      <c r="R236" s="1259"/>
      <c r="S236" s="1888"/>
      <c r="T236" s="1889"/>
      <c r="U236" s="1889"/>
      <c r="V236" s="1889"/>
      <c r="W236" s="1889"/>
      <c r="X236" s="1889"/>
      <c r="Y236" s="1889"/>
      <c r="Z236" s="1889"/>
      <c r="AA236" s="1889"/>
      <c r="AB236" s="1889"/>
      <c r="AC236" s="1889"/>
      <c r="AD236" s="1889"/>
      <c r="AE236" s="1889"/>
      <c r="AF236" s="1889"/>
      <c r="AG236" s="1889"/>
      <c r="AH236" s="1889"/>
      <c r="AI236" s="1889"/>
      <c r="AJ236" s="189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7" t="s">
        <v>440</v>
      </c>
      <c r="I238" s="1887"/>
      <c r="J238" s="1261"/>
      <c r="K238" s="1261"/>
      <c r="L238" s="1259"/>
      <c r="M238" s="1259"/>
      <c r="N238" s="1259"/>
      <c r="O238" s="1259"/>
      <c r="P238" s="1259"/>
      <c r="Q238" s="1259"/>
      <c r="R238" s="1259"/>
      <c r="S238" s="1888"/>
      <c r="T238" s="1889"/>
      <c r="U238" s="1889"/>
      <c r="V238" s="1889"/>
      <c r="W238" s="1889"/>
      <c r="X238" s="1889"/>
      <c r="Y238" s="1889"/>
      <c r="Z238" s="1889"/>
      <c r="AA238" s="1889"/>
      <c r="AB238" s="1889"/>
      <c r="AC238" s="1889"/>
      <c r="AD238" s="1889"/>
      <c r="AE238" s="1889"/>
      <c r="AF238" s="1889"/>
      <c r="AG238" s="1889"/>
      <c r="AH238" s="1889"/>
      <c r="AI238" s="1889"/>
      <c r="AJ238" s="189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1" t="s">
        <v>2221</v>
      </c>
      <c r="I240" s="1891"/>
      <c r="J240" s="1891"/>
      <c r="K240" s="1891"/>
      <c r="L240" s="1891"/>
      <c r="M240" s="1891"/>
      <c r="N240" s="1891"/>
      <c r="O240" s="1891"/>
      <c r="P240" s="1259"/>
      <c r="Q240" s="1259"/>
      <c r="R240" s="1259"/>
      <c r="S240" s="1888"/>
      <c r="T240" s="1889"/>
      <c r="U240" s="1889"/>
      <c r="V240" s="1889"/>
      <c r="W240" s="1889"/>
      <c r="X240" s="1889"/>
      <c r="Y240" s="1889"/>
      <c r="Z240" s="1889"/>
      <c r="AA240" s="1889"/>
      <c r="AB240" s="1889"/>
      <c r="AC240" s="1889"/>
      <c r="AD240" s="1889"/>
      <c r="AE240" s="1889"/>
      <c r="AF240" s="1889"/>
      <c r="AG240" s="1889"/>
      <c r="AH240" s="1889"/>
      <c r="AI240" s="1889"/>
      <c r="AJ240" s="189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2" t="s">
        <v>2220</v>
      </c>
      <c r="I242" s="1892"/>
      <c r="J242" s="1259"/>
      <c r="K242" s="1259"/>
      <c r="L242" s="1259"/>
      <c r="M242" s="1259"/>
      <c r="N242" s="1259"/>
      <c r="O242" s="1259"/>
      <c r="P242" s="1259"/>
      <c r="Q242" s="1259"/>
      <c r="R242" s="1259"/>
      <c r="S242" s="1893"/>
      <c r="T242" s="1894"/>
      <c r="U242" s="1894"/>
      <c r="V242" s="1894"/>
      <c r="W242" s="1894"/>
      <c r="X242" s="1894"/>
      <c r="Y242" s="1894"/>
      <c r="Z242" s="1894"/>
      <c r="AA242" s="1894"/>
      <c r="AB242" s="1894"/>
      <c r="AC242" s="1894"/>
      <c r="AD242" s="1894"/>
      <c r="AE242" s="1894"/>
      <c r="AF242" s="1894"/>
      <c r="AG242" s="1894"/>
      <c r="AH242" s="1894"/>
      <c r="AI242" s="1894"/>
      <c r="AJ242" s="189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7" sqref="AB57:AF5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1" t="s">
        <v>1278</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55720638</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496</v>
      </c>
      <c r="C12" s="1827"/>
      <c r="D12" s="1827"/>
      <c r="E12" s="1827"/>
      <c r="F12" s="1827"/>
      <c r="G12" s="1827"/>
      <c r="H12" s="1827"/>
      <c r="I12" s="1827"/>
      <c r="J12" s="1827"/>
      <c r="K12" s="1827"/>
      <c r="L12" s="1827"/>
      <c r="M12" s="1827"/>
      <c r="N12" s="1827"/>
      <c r="O12" s="1827"/>
      <c r="P12" s="1827"/>
      <c r="Q12" s="1827"/>
      <c r="R12" s="1827"/>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497</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498</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499</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804</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500</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44"/>
      <c r="C18" s="1740" t="s">
        <v>958</v>
      </c>
      <c r="D18" s="1740"/>
      <c r="E18" s="1740"/>
      <c r="F18" s="1740"/>
      <c r="G18" s="1740"/>
      <c r="H18" s="1740"/>
      <c r="I18" s="1740"/>
      <c r="J18" s="1740"/>
      <c r="K18" s="1740"/>
      <c r="L18" s="1740"/>
      <c r="M18" s="1740"/>
      <c r="N18" s="1740"/>
      <c r="O18" s="1740"/>
      <c r="P18" s="1740"/>
      <c r="Q18" s="1740"/>
      <c r="R18" s="1740"/>
      <c r="S18" s="1741"/>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44"/>
      <c r="C19" s="1740" t="s">
        <v>958</v>
      </c>
      <c r="D19" s="1740"/>
      <c r="E19" s="1740"/>
      <c r="F19" s="1740"/>
      <c r="G19" s="1740"/>
      <c r="H19" s="1740"/>
      <c r="I19" s="1740"/>
      <c r="J19" s="1740"/>
      <c r="K19" s="1740"/>
      <c r="L19" s="1740"/>
      <c r="M19" s="1740"/>
      <c r="N19" s="1740"/>
      <c r="O19" s="1740"/>
      <c r="P19" s="1740"/>
      <c r="Q19" s="1740"/>
      <c r="R19" s="1740"/>
      <c r="S19" s="1741"/>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501</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1261</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502</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503</v>
      </c>
      <c r="C23" s="2343"/>
      <c r="D23" s="2343"/>
      <c r="E23" s="2343"/>
      <c r="F23" s="2343"/>
      <c r="G23" s="2343"/>
      <c r="H23" s="2343"/>
      <c r="I23" s="2343"/>
      <c r="J23" s="2343"/>
      <c r="K23" s="2343"/>
      <c r="L23" s="2343"/>
      <c r="M23" s="2343"/>
      <c r="N23" s="2343"/>
      <c r="O23" s="2343"/>
      <c r="P23" s="2343"/>
      <c r="Q23" s="2343"/>
      <c r="R23" s="2343"/>
      <c r="S23" s="2344"/>
      <c r="T23" s="2335">
        <f>T11+T22</f>
        <v>55720638</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959</v>
      </c>
      <c r="C24" s="2343"/>
      <c r="D24" s="2343"/>
      <c r="E24" s="2343"/>
      <c r="F24" s="2343"/>
      <c r="G24" s="2343"/>
      <c r="H24" s="2343"/>
      <c r="I24" s="2343"/>
      <c r="J24" s="2343"/>
      <c r="K24" s="2343"/>
      <c r="L24" s="2343"/>
      <c r="M24" s="2343"/>
      <c r="N24" s="2343"/>
      <c r="O24" s="2343"/>
      <c r="P24" s="2343"/>
      <c r="Q24" s="2343"/>
      <c r="R24" s="2343"/>
      <c r="S24" s="2344"/>
      <c r="T24" s="2337">
        <f>Application!AJ1062</f>
        <v>152797389.41</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1262</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504</v>
      </c>
      <c r="C26" s="2343"/>
      <c r="D26" s="2343"/>
      <c r="E26" s="2343"/>
      <c r="F26" s="2343"/>
      <c r="G26" s="2343"/>
      <c r="H26" s="2343"/>
      <c r="I26" s="2343"/>
      <c r="J26" s="2343"/>
      <c r="K26" s="2343"/>
      <c r="L26" s="2343"/>
      <c r="M26" s="2343"/>
      <c r="N26" s="2343"/>
      <c r="O26" s="2343"/>
      <c r="P26" s="2343"/>
      <c r="Q26" s="2343"/>
      <c r="R26" s="2343"/>
      <c r="S26" s="2344"/>
      <c r="T26" s="2335">
        <f>T23*T25</f>
        <v>72436829.400000006</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0"/>
      <c r="B27" s="2349" t="s">
        <v>426</v>
      </c>
      <c r="C27" s="2350"/>
      <c r="D27" s="2350"/>
      <c r="E27" s="2350"/>
      <c r="F27" s="2350"/>
      <c r="G27" s="2350"/>
      <c r="H27" s="2350"/>
      <c r="I27" s="2350"/>
      <c r="J27" s="2350"/>
      <c r="K27" s="2350"/>
      <c r="L27" s="2350"/>
      <c r="M27" s="2350"/>
      <c r="N27" s="2350"/>
      <c r="O27" s="2350"/>
      <c r="P27" s="2350"/>
      <c r="Q27" s="2350"/>
      <c r="R27" s="2350"/>
      <c r="S27" s="2351"/>
      <c r="T27" s="2355">
        <f>Application!$AG$454</f>
        <v>1</v>
      </c>
      <c r="U27" s="2356"/>
      <c r="V27" s="2356"/>
      <c r="W27" s="2356"/>
      <c r="X27" s="2356"/>
      <c r="Y27" s="2355">
        <f>Application!$AG$454</f>
        <v>1</v>
      </c>
      <c r="Z27" s="2356"/>
      <c r="AA27" s="2356"/>
      <c r="AB27" s="2356"/>
      <c r="AC27" s="2356"/>
      <c r="AD27" s="2355">
        <f>Application!$AG$454</f>
        <v>1</v>
      </c>
      <c r="AE27" s="2356"/>
      <c r="AF27" s="2356"/>
      <c r="AG27" s="2356"/>
      <c r="AH27" s="2356"/>
      <c r="AI27" s="2355">
        <f>Application!$AG$454</f>
        <v>1</v>
      </c>
      <c r="AJ27" s="2356"/>
      <c r="AK27" s="2356"/>
      <c r="AL27" s="2356"/>
      <c r="AM27" s="2356"/>
    </row>
    <row r="28" spans="1:40" ht="12.95" customHeight="1">
      <c r="A28" s="404"/>
      <c r="B28" s="2342" t="s">
        <v>505</v>
      </c>
      <c r="C28" s="2343"/>
      <c r="D28" s="2343"/>
      <c r="E28" s="2343"/>
      <c r="F28" s="2343"/>
      <c r="G28" s="2343"/>
      <c r="H28" s="2343"/>
      <c r="I28" s="2343"/>
      <c r="J28" s="2343"/>
      <c r="K28" s="2343"/>
      <c r="L28" s="2343"/>
      <c r="M28" s="2343"/>
      <c r="N28" s="2343"/>
      <c r="O28" s="2343"/>
      <c r="P28" s="2343"/>
      <c r="Q28" s="2343"/>
      <c r="R28" s="2343"/>
      <c r="S28" s="2344"/>
      <c r="T28" s="2335">
        <f>IF(ISERROR((T26*T27)),0,(T26*T27))</f>
        <v>72436829.400000006</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522</v>
      </c>
      <c r="C29" s="2343"/>
      <c r="D29" s="2343"/>
      <c r="E29" s="2343"/>
      <c r="F29" s="2343"/>
      <c r="G29" s="2343"/>
      <c r="H29" s="2343"/>
      <c r="I29" s="2343"/>
      <c r="J29" s="2343"/>
      <c r="K29" s="2343"/>
      <c r="L29" s="2343"/>
      <c r="M29" s="2343"/>
      <c r="N29" s="2343"/>
      <c r="O29" s="2343"/>
      <c r="P29" s="2343"/>
      <c r="Q29" s="2343"/>
      <c r="R29" s="2343"/>
      <c r="S29" s="2344"/>
      <c r="T29" s="2337">
        <f>T28+Y28+AD28+AI28</f>
        <v>72436829.400000006</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1264</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1263</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1152</v>
      </c>
      <c r="Z35" s="2363"/>
      <c r="AA35" s="2363"/>
      <c r="AB35" s="2363"/>
      <c r="AC35" s="2363"/>
      <c r="AD35" s="2383" t="s">
        <v>369</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505</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72436829.400000006</v>
      </c>
      <c r="Z38" s="2336"/>
      <c r="AA38" s="2336"/>
      <c r="AB38" s="2336"/>
      <c r="AC38" s="2336"/>
      <c r="AD38" s="2336">
        <f>IF(T24&gt;=(T23+Y23+AD23+AI23),AD28+AI28,0)</f>
        <v>0</v>
      </c>
      <c r="AE38" s="2336"/>
      <c r="AF38" s="2336"/>
      <c r="AG38" s="2336"/>
      <c r="AH38" s="2336"/>
    </row>
    <row r="39" spans="1:76" ht="12.95" customHeight="1">
      <c r="B39" s="2342" t="s">
        <v>1678</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641</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2897473</v>
      </c>
      <c r="Z40" s="2336"/>
      <c r="AA40" s="2336"/>
      <c r="AB40" s="2336"/>
      <c r="AC40" s="2336"/>
      <c r="AD40" s="2335">
        <f>ROUND(AD38*AD39,0)</f>
        <v>0</v>
      </c>
      <c r="AE40" s="2336"/>
      <c r="AF40" s="2336"/>
      <c r="AG40" s="2336"/>
      <c r="AH40" s="2336"/>
    </row>
    <row r="41" spans="1:76" ht="12.95" customHeight="1">
      <c r="B41" s="2342" t="s">
        <v>642</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2897473</v>
      </c>
      <c r="Z41" s="2338"/>
      <c r="AA41" s="2338"/>
      <c r="AB41" s="2338"/>
      <c r="AC41" s="2338"/>
      <c r="AD41" s="2338"/>
      <c r="AE41" s="2338"/>
      <c r="AF41" s="2338"/>
      <c r="AG41" s="2338"/>
      <c r="AH41" s="2335"/>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1274</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585</v>
      </c>
      <c r="C46" s="404" t="s">
        <v>282</v>
      </c>
    </row>
    <row r="47" spans="1:76" ht="12.95" customHeight="1">
      <c r="D47" s="404" t="s">
        <v>283</v>
      </c>
      <c r="AB47" s="2352">
        <f>'Sources and Uses Budget'!B105-MAX(IF('Sources and Uses Budget'!B15="",0,'Sources and Uses Budget'!B15),IF(Application!AG403="",0,Application!AG403))</f>
        <v>64089184</v>
      </c>
      <c r="AC47" s="2353"/>
      <c r="AD47" s="2353"/>
      <c r="AE47" s="2353"/>
      <c r="AF47" s="2354"/>
    </row>
    <row r="48" spans="1:76" ht="12.95" customHeight="1">
      <c r="D48" s="404" t="s">
        <v>21</v>
      </c>
      <c r="AB48" s="2352">
        <f>Application!AO647-MAX(IF('Sources and Uses Budget'!B15="",0,'Sources and Uses Budget'!B15),IF(Application!AG403="",0,Application!AG403))</f>
        <v>28579654</v>
      </c>
      <c r="AC48" s="2353"/>
      <c r="AD48" s="2353"/>
      <c r="AE48" s="2353"/>
      <c r="AF48" s="2354"/>
    </row>
    <row r="49" spans="1:76" ht="12.95" customHeight="1">
      <c r="D49" s="404" t="s">
        <v>91</v>
      </c>
      <c r="AB49" s="2352">
        <f>AB47-AB48</f>
        <v>35509530</v>
      </c>
      <c r="AC49" s="2353"/>
      <c r="AD49" s="2353"/>
      <c r="AE49" s="2353"/>
      <c r="AF49" s="2354"/>
    </row>
    <row r="50" spans="1:76" ht="12.95" customHeight="1">
      <c r="D50" s="404" t="s">
        <v>680</v>
      </c>
      <c r="AA50" s="415"/>
      <c r="AB50" s="2379">
        <v>0.8099999639149007</v>
      </c>
      <c r="AC50" s="2380"/>
      <c r="AD50" s="2380"/>
      <c r="AE50" s="2380"/>
      <c r="AF50" s="2381"/>
    </row>
    <row r="51" spans="1:76" s="417" customFormat="1" ht="12.95" customHeight="1">
      <c r="A51" s="402"/>
      <c r="B51" s="402"/>
      <c r="C51" s="402"/>
      <c r="D51" s="402"/>
      <c r="E51" s="2382" t="s">
        <v>2533</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43838928</v>
      </c>
      <c r="AC54" s="2353"/>
      <c r="AD54" s="2353"/>
      <c r="AE54" s="2353"/>
      <c r="AF54" s="2354"/>
    </row>
    <row r="55" spans="1:76" ht="12.95" customHeight="1">
      <c r="D55" s="404" t="s">
        <v>333</v>
      </c>
      <c r="AB55" s="2352">
        <f>(AB54/10)</f>
        <v>4383892.8</v>
      </c>
      <c r="AC55" s="2353"/>
      <c r="AD55" s="2353"/>
      <c r="AE55" s="2353"/>
      <c r="AF55" s="2354"/>
    </row>
    <row r="56" spans="1:76" ht="12.95" customHeight="1">
      <c r="D56" s="404" t="s">
        <v>755</v>
      </c>
      <c r="AB56" s="2352">
        <f>ROUND((IF((Y41&lt;AB55),Y41,AB55)),0)</f>
        <v>2897473</v>
      </c>
      <c r="AC56" s="2353"/>
      <c r="AD56" s="2353"/>
      <c r="AE56" s="2353"/>
      <c r="AF56" s="2354"/>
    </row>
    <row r="57" spans="1:76" ht="12.95" customHeight="1">
      <c r="D57" s="404" t="s">
        <v>754</v>
      </c>
      <c r="AB57" s="2352">
        <f>ROUND((10*AB56*AB50),0)</f>
        <v>23469530</v>
      </c>
      <c r="AC57" s="2353"/>
      <c r="AD57" s="2353"/>
      <c r="AE57" s="2353"/>
      <c r="AF57" s="2354"/>
    </row>
    <row r="58" spans="1:76" ht="12.95" customHeight="1">
      <c r="D58" s="404"/>
      <c r="AB58" s="423"/>
      <c r="AC58" s="423"/>
      <c r="AD58" s="423"/>
      <c r="AE58" s="423"/>
      <c r="AF58" s="423"/>
    </row>
    <row r="59" spans="1:76" ht="12.95" customHeight="1">
      <c r="D59" s="404" t="s">
        <v>753</v>
      </c>
      <c r="AB59" s="2375">
        <f>AB49-AB57</f>
        <v>12040000</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588</v>
      </c>
      <c r="C63" s="205" t="s">
        <v>1246</v>
      </c>
      <c r="Y63" s="2376" t="s">
        <v>982</v>
      </c>
      <c r="Z63" s="2376"/>
      <c r="AA63" s="2376"/>
      <c r="AB63" s="2376"/>
      <c r="AC63" s="2376"/>
      <c r="AD63" s="2376" t="s">
        <v>369</v>
      </c>
      <c r="AE63" s="2376"/>
      <c r="AF63" s="2376"/>
      <c r="AG63" s="2376"/>
      <c r="AH63" s="2376"/>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55720638</v>
      </c>
      <c r="Z64" s="2377"/>
      <c r="AA64" s="2377"/>
      <c r="AB64" s="2377"/>
      <c r="AC64" s="2378"/>
      <c r="AD64" s="2337">
        <f>IF(AND(OR(Application!D211="At-Risk",Application!D211="At-Risk and Special Needs"),Application!M367="yes"),AD28+AI28,0)</f>
        <v>0</v>
      </c>
      <c r="AE64" s="2377"/>
      <c r="AF64" s="2377"/>
      <c r="AG64" s="2377"/>
      <c r="AH64" s="2378"/>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0.3</v>
      </c>
      <c r="Z67" s="2390"/>
      <c r="AA67" s="2390"/>
      <c r="AB67" s="2390"/>
      <c r="AC67" s="2390"/>
      <c r="AD67" s="2390">
        <f>IF(Application!Z205="15% set-aside with qualifying low value rehab", 0.95,IF(OR(Application!D211="At-Risk",'Points System'!B26="Yes"),0.13,0))</f>
        <v>0</v>
      </c>
      <c r="AE67" s="2390"/>
      <c r="AF67" s="2390"/>
      <c r="AG67" s="2390"/>
      <c r="AH67" s="2390"/>
    </row>
    <row r="68" spans="1:37" ht="12.95" customHeight="1">
      <c r="C68" s="404"/>
      <c r="D68" s="205" t="s">
        <v>2176</v>
      </c>
      <c r="Y68" s="2336">
        <f>IF(AND(T25=1.3,OR(Y67=0.13,Y67=0.95),NOT(Application!T212&gt;=50%)),0,ROUND(Y64*Y67,0))</f>
        <v>16716191</v>
      </c>
      <c r="Z68" s="2391"/>
      <c r="AA68" s="2391"/>
      <c r="AB68" s="2391"/>
      <c r="AC68" s="2391"/>
      <c r="AD68" s="2336">
        <f>IF(AND(T25=1.3,AD67&gt;0,NOT(Application!T212&gt;=50%)),0,ROUND(AD64*AD67,0))</f>
        <v>0</v>
      </c>
      <c r="AE68" s="2391"/>
      <c r="AF68" s="2391"/>
      <c r="AG68" s="2391"/>
      <c r="AH68" s="2391"/>
      <c r="AK68" s="1192"/>
    </row>
    <row r="69" spans="1:37" ht="12.95" customHeight="1">
      <c r="C69" s="404"/>
      <c r="D69" s="205" t="s">
        <v>2177</v>
      </c>
      <c r="Y69" s="2336">
        <f>IF(OR(Application!Z205="State Farmworker Credit",Application!Z205="$500M (Farmworker Housing)"),Y68+AD68,MIN(Y68+AD68,200000*(Application!G761+Application!O785)))</f>
        <v>16716191</v>
      </c>
      <c r="Z69" s="2336"/>
      <c r="AA69" s="2336"/>
      <c r="AB69" s="2336"/>
      <c r="AC69" s="2336"/>
      <c r="AD69" s="2336"/>
      <c r="AE69" s="2336"/>
      <c r="AF69" s="2336"/>
      <c r="AG69" s="2336"/>
      <c r="AH69" s="2336"/>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79">
        <v>0.86</v>
      </c>
      <c r="AC72" s="2380"/>
      <c r="AD72" s="2380"/>
      <c r="AE72" s="2380"/>
      <c r="AF72" s="2381"/>
    </row>
    <row r="73" spans="1:37" ht="12.95" customHeight="1">
      <c r="A73" s="404"/>
      <c r="C73" s="404"/>
      <c r="D73" s="404"/>
      <c r="E73" s="2392" t="s">
        <v>1249</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7"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7"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5">
        <f>ROUND(IF(ISERROR((AB59/AB72)),0,(AB59/AB72)),0)</f>
        <v>14000000</v>
      </c>
      <c r="AC77" s="2385"/>
      <c r="AD77" s="2385"/>
      <c r="AE77" s="2385"/>
      <c r="AF77" s="2385"/>
    </row>
    <row r="78" spans="1:37" ht="12.95" customHeight="1">
      <c r="C78" s="404"/>
      <c r="D78" s="205" t="s">
        <v>1251</v>
      </c>
      <c r="AB78" s="2386">
        <f>ROUNDUP(MIN(Y69,AB77),0)</f>
        <v>14000000</v>
      </c>
      <c r="AC78" s="2387"/>
      <c r="AD78" s="2387"/>
      <c r="AE78" s="2387"/>
      <c r="AF78" s="2388"/>
    </row>
    <row r="79" spans="1:37" ht="12.95" customHeight="1">
      <c r="C79" s="404"/>
      <c r="D79" s="205" t="s">
        <v>1252</v>
      </c>
      <c r="AB79" s="2389">
        <f>AB78*AB72</f>
        <v>12040000</v>
      </c>
      <c r="AC79" s="2389"/>
      <c r="AD79" s="2389"/>
      <c r="AE79" s="2389"/>
      <c r="AF79" s="2389"/>
    </row>
    <row r="80" spans="1:37" ht="12.95" customHeight="1">
      <c r="C80" s="404"/>
      <c r="D80" s="404"/>
      <c r="AB80" s="425"/>
      <c r="AC80" s="425"/>
      <c r="AD80" s="425"/>
      <c r="AE80" s="425"/>
      <c r="AF80" s="425"/>
    </row>
    <row r="81" spans="1:78" ht="12.95" customHeight="1">
      <c r="D81" s="404" t="s">
        <v>753</v>
      </c>
      <c r="AB81" s="2375">
        <f>AB49-(AB57+AB79)</f>
        <v>0</v>
      </c>
      <c r="AC81" s="2375"/>
      <c r="AD81" s="2375"/>
      <c r="AE81" s="2375"/>
      <c r="AF81" s="2375"/>
    </row>
    <row r="82" spans="1:78" ht="12.95" customHeight="1">
      <c r="F82" s="522"/>
      <c r="J82" s="522" t="str">
        <f>IF(AB81&gt;0,"FUNDING GAP MUST NOT EXCEED ZERO","")</f>
        <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hidden="1" customHeight="1">
      <c r="A86" s="404"/>
      <c r="C86" s="205"/>
    </row>
    <row r="87" spans="1:78" ht="12.95" hidden="1" customHeight="1">
      <c r="D87" s="205"/>
      <c r="AB87" s="2341"/>
      <c r="AC87" s="2341"/>
      <c r="AD87" s="2341"/>
      <c r="AE87" s="2341"/>
      <c r="AF87" s="2341"/>
    </row>
    <row r="88" spans="1:78" ht="12.95" hidden="1"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7" workbookViewId="0">
      <selection activeCell="AD123" sqref="AD123:AG12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4" t="s">
        <v>1297</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1"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3" t="s">
        <v>1301</v>
      </c>
      <c r="AF7" s="2453"/>
      <c r="AG7" s="2453"/>
      <c r="AH7" s="2453"/>
      <c r="AI7" s="2453"/>
      <c r="AJ7" s="2453"/>
      <c r="AK7" s="2453"/>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5" t="s">
        <v>590</v>
      </c>
      <c r="C12" s="2595"/>
      <c r="D12" s="540"/>
      <c r="E12" s="2456" t="s">
        <v>2547</v>
      </c>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8"/>
      <c r="AK12" s="540"/>
      <c r="AL12" s="540"/>
      <c r="AM12" s="540"/>
      <c r="AN12" s="535"/>
      <c r="AO12" s="557"/>
    </row>
    <row r="13" spans="1:41" s="536" customFormat="1" ht="12.75" customHeight="1">
      <c r="A13" s="540"/>
      <c r="D13" s="546"/>
      <c r="E13" s="2459"/>
      <c r="F13" s="2460"/>
      <c r="G13" s="2460"/>
      <c r="H13" s="2460"/>
      <c r="I13" s="2460"/>
      <c r="J13" s="2460"/>
      <c r="K13" s="2460"/>
      <c r="L13" s="2460"/>
      <c r="M13" s="2460"/>
      <c r="N13" s="2460"/>
      <c r="O13" s="2460"/>
      <c r="P13" s="2460"/>
      <c r="Q13" s="2460"/>
      <c r="R13" s="2460"/>
      <c r="S13" s="2460"/>
      <c r="T13" s="2460"/>
      <c r="U13" s="2460"/>
      <c r="V13" s="2460"/>
      <c r="W13" s="2460"/>
      <c r="X13" s="2460"/>
      <c r="Y13" s="2460"/>
      <c r="Z13" s="2460"/>
      <c r="AA13" s="2460"/>
      <c r="AB13" s="2460"/>
      <c r="AC13" s="2460"/>
      <c r="AD13" s="2460"/>
      <c r="AE13" s="2460"/>
      <c r="AF13" s="2460"/>
      <c r="AG13" s="2460"/>
      <c r="AH13" s="2460"/>
      <c r="AI13" s="2460"/>
      <c r="AJ13" s="2461"/>
      <c r="AK13" s="540"/>
      <c r="AL13" s="540"/>
      <c r="AM13" s="540"/>
      <c r="AN13" s="535"/>
      <c r="AO13" s="557"/>
    </row>
    <row r="14" spans="1:41" s="536" customFormat="1" ht="12.75" customHeight="1">
      <c r="A14" s="540"/>
      <c r="D14" s="540"/>
      <c r="E14" s="2612"/>
      <c r="F14" s="2613"/>
      <c r="G14" s="2613"/>
      <c r="H14" s="2613"/>
      <c r="I14" s="2613"/>
      <c r="J14" s="2613"/>
      <c r="K14" s="2613"/>
      <c r="L14" s="2613"/>
      <c r="M14" s="2613"/>
      <c r="N14" s="2613"/>
      <c r="O14" s="2613"/>
      <c r="P14" s="2613"/>
      <c r="Q14" s="2613"/>
      <c r="R14" s="2613"/>
      <c r="S14" s="2613"/>
      <c r="T14" s="2613"/>
      <c r="U14" s="2613"/>
      <c r="V14" s="2613"/>
      <c r="W14" s="2613"/>
      <c r="X14" s="2613"/>
      <c r="Y14" s="2613"/>
      <c r="Z14" s="2613"/>
      <c r="AA14" s="2613"/>
      <c r="AB14" s="2613"/>
      <c r="AC14" s="2613"/>
      <c r="AD14" s="2613"/>
      <c r="AE14" s="2613"/>
      <c r="AF14" s="2613"/>
      <c r="AG14" s="2613"/>
      <c r="AH14" s="2613"/>
      <c r="AI14" s="2613"/>
      <c r="AJ14" s="2614"/>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5" t="s">
        <v>590</v>
      </c>
      <c r="C16" s="2595"/>
      <c r="D16" s="540"/>
      <c r="E16" s="2456" t="s">
        <v>2548</v>
      </c>
      <c r="F16" s="2457"/>
      <c r="G16" s="2457"/>
      <c r="H16" s="2457"/>
      <c r="I16" s="2457"/>
      <c r="J16" s="2457"/>
      <c r="K16" s="2457"/>
      <c r="L16" s="2457"/>
      <c r="M16" s="2457"/>
      <c r="N16" s="2457"/>
      <c r="O16" s="2457"/>
      <c r="P16" s="2457"/>
      <c r="Q16" s="2457"/>
      <c r="R16" s="2457"/>
      <c r="S16" s="2457"/>
      <c r="T16" s="2457"/>
      <c r="U16" s="2457"/>
      <c r="V16" s="2457"/>
      <c r="W16" s="2457"/>
      <c r="X16" s="2457"/>
      <c r="Y16" s="2457"/>
      <c r="Z16" s="2457"/>
      <c r="AA16" s="2457"/>
      <c r="AB16" s="2457"/>
      <c r="AC16" s="2457"/>
      <c r="AD16" s="2457"/>
      <c r="AE16" s="2457"/>
      <c r="AF16" s="2457"/>
      <c r="AG16" s="2457"/>
      <c r="AH16" s="2457"/>
      <c r="AI16" s="2457"/>
      <c r="AJ16" s="2458"/>
      <c r="AK16" s="540"/>
      <c r="AL16" s="540"/>
      <c r="AM16" s="540"/>
      <c r="AN16" s="535"/>
    </row>
    <row r="17" spans="1:50" s="536" customFormat="1" ht="12.75" customHeight="1">
      <c r="A17" s="540"/>
      <c r="B17" s="540"/>
      <c r="C17" s="540"/>
      <c r="D17" s="540"/>
      <c r="E17" s="2459"/>
      <c r="F17" s="2460"/>
      <c r="G17" s="2460"/>
      <c r="H17" s="2460"/>
      <c r="I17" s="2460"/>
      <c r="J17" s="2460"/>
      <c r="K17" s="2460"/>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1"/>
      <c r="AK17" s="540"/>
      <c r="AL17" s="540"/>
      <c r="AM17" s="540"/>
      <c r="AN17" s="535"/>
    </row>
    <row r="18" spans="1:50" s="536" customFormat="1" ht="12.75" customHeight="1">
      <c r="A18" s="540"/>
      <c r="B18" s="540"/>
      <c r="C18" s="1135"/>
      <c r="D18" s="540"/>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5" t="s">
        <v>590</v>
      </c>
      <c r="C20" s="2595"/>
      <c r="D20" s="540"/>
      <c r="E20" s="2456" t="s">
        <v>1977</v>
      </c>
      <c r="F20" s="2457"/>
      <c r="G20" s="2457"/>
      <c r="H20" s="2457"/>
      <c r="I20" s="2457"/>
      <c r="J20" s="2457"/>
      <c r="K20" s="2457"/>
      <c r="L20" s="2457"/>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8"/>
      <c r="AK20" s="540"/>
      <c r="AL20" s="540"/>
      <c r="AM20" s="540"/>
      <c r="AN20" s="535"/>
    </row>
    <row r="21" spans="1:50" s="536" customFormat="1" ht="12.75" customHeight="1">
      <c r="A21" s="540"/>
      <c r="B21" s="546"/>
      <c r="C21" s="546"/>
      <c r="D21" s="546"/>
      <c r="E21" s="2612"/>
      <c r="F21" s="2613"/>
      <c r="G21" s="2613"/>
      <c r="H21" s="2613"/>
      <c r="I21" s="2613"/>
      <c r="J21" s="2613"/>
      <c r="K21" s="2613"/>
      <c r="L21" s="2613"/>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4"/>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5" t="s">
        <v>590</v>
      </c>
      <c r="C26" s="2595"/>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6"/>
      <c r="AH26" s="2626"/>
      <c r="AI26" s="2626"/>
      <c r="AJ26" s="2627"/>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5" t="s">
        <v>590</v>
      </c>
      <c r="C30" s="2595"/>
      <c r="D30" s="546"/>
      <c r="E30" s="2628" t="s">
        <v>2637</v>
      </c>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30"/>
      <c r="AK30" s="540"/>
      <c r="AL30" s="540"/>
      <c r="AM30" s="540"/>
      <c r="AN30" s="535"/>
      <c r="AO30" s="549">
        <f>IF($B30="yes",9,0)</f>
        <v>0</v>
      </c>
    </row>
    <row r="31" spans="1:50" s="536" customFormat="1" ht="12.75" customHeight="1">
      <c r="A31" s="540"/>
      <c r="B31" s="540"/>
      <c r="C31" s="540"/>
      <c r="E31" s="2634"/>
      <c r="F31" s="2635"/>
      <c r="G31" s="2635"/>
      <c r="H31" s="2635"/>
      <c r="I31" s="2635"/>
      <c r="J31" s="2635"/>
      <c r="K31" s="2635"/>
      <c r="L31" s="2635"/>
      <c r="M31" s="2635"/>
      <c r="N31" s="2635"/>
      <c r="O31" s="2635"/>
      <c r="P31" s="2635"/>
      <c r="Q31" s="2635"/>
      <c r="R31" s="2635"/>
      <c r="S31" s="2635"/>
      <c r="T31" s="2635"/>
      <c r="U31" s="2635"/>
      <c r="V31" s="2635"/>
      <c r="W31" s="2635"/>
      <c r="X31" s="2635"/>
      <c r="Y31" s="2635"/>
      <c r="Z31" s="2635"/>
      <c r="AA31" s="2635"/>
      <c r="AB31" s="2635"/>
      <c r="AC31" s="2635"/>
      <c r="AD31" s="2635"/>
      <c r="AE31" s="2635"/>
      <c r="AF31" s="2635"/>
      <c r="AG31" s="2635"/>
      <c r="AH31" s="2635"/>
      <c r="AI31" s="2635"/>
      <c r="AJ31" s="263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5" t="s">
        <v>590</v>
      </c>
      <c r="C33" s="2595"/>
      <c r="D33" s="546"/>
      <c r="E33" s="2628" t="s">
        <v>2554</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49">
        <f>IF($B39="yes",9,0)</f>
        <v>0</v>
      </c>
    </row>
    <row r="34" spans="1:43" s="536" customFormat="1" ht="12.75" customHeight="1">
      <c r="A34" s="540"/>
      <c r="B34" s="540"/>
      <c r="C34" s="540"/>
      <c r="D34" s="546"/>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c r="AO34" s="536">
        <f>MAX(AO30,AO31,AO32,AO33)</f>
        <v>0</v>
      </c>
      <c r="AP34" s="536" t="s">
        <v>1303</v>
      </c>
    </row>
    <row r="35" spans="1:43" s="536" customFormat="1" ht="12.75" customHeight="1">
      <c r="A35" s="540"/>
      <c r="B35" s="540"/>
      <c r="C35" s="540"/>
      <c r="E35" s="2634"/>
      <c r="F35" s="2635"/>
      <c r="G35" s="2635"/>
      <c r="H35" s="2635"/>
      <c r="I35" s="2635"/>
      <c r="J35" s="2635"/>
      <c r="K35" s="2635"/>
      <c r="L35" s="2635"/>
      <c r="M35" s="2635"/>
      <c r="N35" s="2635"/>
      <c r="O35" s="2635"/>
      <c r="P35" s="2635"/>
      <c r="Q35" s="2635"/>
      <c r="R35" s="2635"/>
      <c r="S35" s="2635"/>
      <c r="T35" s="2635"/>
      <c r="U35" s="2635"/>
      <c r="V35" s="2635"/>
      <c r="W35" s="2635"/>
      <c r="X35" s="2635"/>
      <c r="Y35" s="2635"/>
      <c r="Z35" s="2635"/>
      <c r="AA35" s="2635"/>
      <c r="AB35" s="2635"/>
      <c r="AC35" s="2635"/>
      <c r="AD35" s="2635"/>
      <c r="AE35" s="2635"/>
      <c r="AF35" s="2635"/>
      <c r="AG35" s="2635"/>
      <c r="AH35" s="2635"/>
      <c r="AI35" s="2635"/>
      <c r="AJ35" s="263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5" t="s">
        <v>590</v>
      </c>
      <c r="C37" s="2595"/>
      <c r="D37" s="1136"/>
      <c r="E37" s="2621" t="s">
        <v>2556</v>
      </c>
      <c r="F37" s="2622"/>
      <c r="G37" s="2622"/>
      <c r="H37" s="2622"/>
      <c r="I37" s="2622"/>
      <c r="J37" s="2622"/>
      <c r="K37" s="2622"/>
      <c r="L37" s="2622"/>
      <c r="M37" s="2622"/>
      <c r="N37" s="2622"/>
      <c r="O37" s="2622"/>
      <c r="P37" s="2622"/>
      <c r="Q37" s="2622"/>
      <c r="R37" s="2622"/>
      <c r="S37" s="2622"/>
      <c r="T37" s="2622"/>
      <c r="U37" s="2622"/>
      <c r="V37" s="2622"/>
      <c r="W37" s="2622"/>
      <c r="X37" s="2622"/>
      <c r="Y37" s="2622"/>
      <c r="Z37" s="2622"/>
      <c r="AA37" s="2622"/>
      <c r="AB37" s="2622"/>
      <c r="AC37" s="2622"/>
      <c r="AD37" s="2622"/>
      <c r="AE37" s="2622"/>
      <c r="AF37" s="2622"/>
      <c r="AG37" s="2622"/>
      <c r="AH37" s="2622"/>
      <c r="AI37" s="2622"/>
      <c r="AJ37" s="262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5" t="s">
        <v>590</v>
      </c>
      <c r="C39" s="2595"/>
      <c r="D39" s="1136"/>
      <c r="E39" s="2621" t="s">
        <v>2555</v>
      </c>
      <c r="F39" s="2622"/>
      <c r="G39" s="2622"/>
      <c r="H39" s="2622"/>
      <c r="I39" s="2622"/>
      <c r="J39" s="2622"/>
      <c r="K39" s="2622"/>
      <c r="L39" s="2622"/>
      <c r="M39" s="2622"/>
      <c r="N39" s="2622"/>
      <c r="O39" s="2622"/>
      <c r="P39" s="2622"/>
      <c r="Q39" s="2622"/>
      <c r="R39" s="2622"/>
      <c r="S39" s="2622"/>
      <c r="T39" s="2622"/>
      <c r="U39" s="2622"/>
      <c r="V39" s="2622"/>
      <c r="W39" s="2622"/>
      <c r="X39" s="2622"/>
      <c r="Y39" s="2622"/>
      <c r="Z39" s="2622"/>
      <c r="AA39" s="2622"/>
      <c r="AB39" s="2622"/>
      <c r="AC39" s="2622"/>
      <c r="AD39" s="2622"/>
      <c r="AE39" s="2622"/>
      <c r="AF39" s="2622"/>
      <c r="AG39" s="2622"/>
      <c r="AH39" s="2622"/>
      <c r="AI39" s="2622"/>
      <c r="AJ39" s="262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5" t="s">
        <v>590</v>
      </c>
      <c r="C43" s="2595"/>
      <c r="D43" s="546"/>
      <c r="E43" s="2596" t="s">
        <v>2638</v>
      </c>
      <c r="F43" s="2597"/>
      <c r="G43" s="2597"/>
      <c r="H43" s="2597"/>
      <c r="I43" s="2597"/>
      <c r="J43" s="2597"/>
      <c r="K43" s="2597"/>
      <c r="L43" s="2597"/>
      <c r="M43" s="2597"/>
      <c r="N43" s="2597"/>
      <c r="O43" s="2597"/>
      <c r="P43" s="2597"/>
      <c r="Q43" s="2597"/>
      <c r="R43" s="2597"/>
      <c r="S43" s="2597"/>
      <c r="T43" s="2597"/>
      <c r="U43" s="2597"/>
      <c r="V43" s="2597"/>
      <c r="W43" s="2597"/>
      <c r="X43" s="2597"/>
      <c r="Y43" s="2597"/>
      <c r="Z43" s="2597"/>
      <c r="AA43" s="2597"/>
      <c r="AB43" s="2597"/>
      <c r="AC43" s="2597"/>
      <c r="AD43" s="2597"/>
      <c r="AE43" s="2597"/>
      <c r="AF43" s="2597"/>
      <c r="AG43" s="2597"/>
      <c r="AH43" s="2597"/>
      <c r="AI43" s="2597"/>
      <c r="AJ43" s="2598"/>
      <c r="AK43" s="540"/>
      <c r="AL43" s="540"/>
      <c r="AM43" s="540"/>
      <c r="AN43" s="535"/>
      <c r="AO43" s="549">
        <f>IF($B43="yes",8,0)</f>
        <v>0</v>
      </c>
      <c r="AP43" s="14"/>
    </row>
    <row r="44" spans="1:43" s="536" customFormat="1" ht="12.75" customHeight="1">
      <c r="A44" s="540"/>
      <c r="B44" s="540"/>
      <c r="C44" s="540"/>
      <c r="D44" s="550"/>
      <c r="E44" s="2637"/>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5" t="s">
        <v>590</v>
      </c>
      <c r="C46" s="2595"/>
      <c r="D46" s="546"/>
      <c r="E46" s="2628" t="s">
        <v>2639</v>
      </c>
      <c r="F46" s="2629"/>
      <c r="G46" s="2629"/>
      <c r="H46" s="2629"/>
      <c r="I46" s="2629"/>
      <c r="J46" s="2629"/>
      <c r="K46" s="2629"/>
      <c r="L46" s="2629"/>
      <c r="M46" s="2629"/>
      <c r="N46" s="2629"/>
      <c r="O46" s="2629"/>
      <c r="P46" s="2629"/>
      <c r="Q46" s="2629"/>
      <c r="R46" s="2629"/>
      <c r="S46" s="2629"/>
      <c r="T46" s="2629"/>
      <c r="U46" s="2629"/>
      <c r="V46" s="2629"/>
      <c r="W46" s="2629"/>
      <c r="X46" s="2629"/>
      <c r="Y46" s="2629"/>
      <c r="Z46" s="2629"/>
      <c r="AA46" s="2629"/>
      <c r="AB46" s="2629"/>
      <c r="AC46" s="2629"/>
      <c r="AD46" s="2629"/>
      <c r="AE46" s="2629"/>
      <c r="AF46" s="2629"/>
      <c r="AG46" s="2629"/>
      <c r="AH46" s="2629"/>
      <c r="AI46" s="2629"/>
      <c r="AJ46" s="2630"/>
      <c r="AK46" s="540"/>
      <c r="AL46" s="540"/>
      <c r="AM46" s="540"/>
      <c r="AN46" s="535"/>
      <c r="AO46" s="549">
        <f>IF($B52="yes",8,0)</f>
        <v>0</v>
      </c>
    </row>
    <row r="47" spans="1:43" s="536" customFormat="1" ht="12.75" customHeight="1">
      <c r="A47" s="540"/>
      <c r="B47" s="540"/>
      <c r="C47" s="540"/>
      <c r="D47" s="549"/>
      <c r="E47" s="2634"/>
      <c r="F47" s="2635"/>
      <c r="G47" s="2635"/>
      <c r="H47" s="2635"/>
      <c r="I47" s="2635"/>
      <c r="J47" s="2635"/>
      <c r="K47" s="2635"/>
      <c r="L47" s="2635"/>
      <c r="M47" s="2635"/>
      <c r="N47" s="2635"/>
      <c r="O47" s="2635"/>
      <c r="P47" s="2635"/>
      <c r="Q47" s="2635"/>
      <c r="R47" s="2635"/>
      <c r="S47" s="2635"/>
      <c r="T47" s="2635"/>
      <c r="U47" s="2635"/>
      <c r="V47" s="2635"/>
      <c r="W47" s="2635"/>
      <c r="X47" s="2635"/>
      <c r="Y47" s="2635"/>
      <c r="Z47" s="2635"/>
      <c r="AA47" s="2635"/>
      <c r="AB47" s="2635"/>
      <c r="AC47" s="2635"/>
      <c r="AD47" s="2635"/>
      <c r="AE47" s="2635"/>
      <c r="AF47" s="2635"/>
      <c r="AG47" s="2635"/>
      <c r="AH47" s="2635"/>
      <c r="AI47" s="2635"/>
      <c r="AJ47" s="2636"/>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5" t="s">
        <v>590</v>
      </c>
      <c r="C49" s="2595"/>
      <c r="D49" s="546"/>
      <c r="E49" s="2456" t="s">
        <v>2640</v>
      </c>
      <c r="F49" s="2457"/>
      <c r="G49" s="2457"/>
      <c r="H49" s="2457"/>
      <c r="I49" s="2457"/>
      <c r="J49" s="2457"/>
      <c r="K49" s="2457"/>
      <c r="L49" s="2457"/>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8"/>
      <c r="AK49" s="540"/>
      <c r="AL49" s="540"/>
      <c r="AM49" s="540"/>
      <c r="AN49" s="535"/>
      <c r="AO49" s="549"/>
    </row>
    <row r="50" spans="1:42" s="536" customFormat="1" ht="12.75" customHeight="1">
      <c r="A50" s="540"/>
      <c r="B50" s="540"/>
      <c r="C50" s="540"/>
      <c r="D50" s="549"/>
      <c r="E50" s="2612"/>
      <c r="F50" s="2613"/>
      <c r="G50" s="2613"/>
      <c r="H50" s="2613"/>
      <c r="I50" s="2613"/>
      <c r="J50" s="2613"/>
      <c r="K50" s="2613"/>
      <c r="L50" s="2613"/>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4"/>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5" t="s">
        <v>590</v>
      </c>
      <c r="C52" s="2595"/>
      <c r="D52" s="546"/>
      <c r="E52" s="2621" t="s">
        <v>2641</v>
      </c>
      <c r="F52" s="2622"/>
      <c r="G52" s="2622"/>
      <c r="H52" s="2622"/>
      <c r="I52" s="2622"/>
      <c r="J52" s="2622"/>
      <c r="K52" s="2622"/>
      <c r="L52" s="2622"/>
      <c r="M52" s="2622"/>
      <c r="N52" s="2622"/>
      <c r="O52" s="2622"/>
      <c r="P52" s="2622"/>
      <c r="Q52" s="2622"/>
      <c r="R52" s="2622"/>
      <c r="S52" s="2622"/>
      <c r="T52" s="2622"/>
      <c r="U52" s="2622"/>
      <c r="V52" s="2622"/>
      <c r="W52" s="2622"/>
      <c r="X52" s="2622"/>
      <c r="Y52" s="2622"/>
      <c r="Z52" s="2622"/>
      <c r="AA52" s="2622"/>
      <c r="AB52" s="2622"/>
      <c r="AC52" s="2622"/>
      <c r="AD52" s="2622"/>
      <c r="AE52" s="2622"/>
      <c r="AF52" s="2622"/>
      <c r="AG52" s="2622"/>
      <c r="AH52" s="2622"/>
      <c r="AI52" s="2622"/>
      <c r="AJ52" s="262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5" t="s">
        <v>590</v>
      </c>
      <c r="C56" s="2595"/>
      <c r="D56" s="546"/>
      <c r="E56" s="2456" t="s">
        <v>2557</v>
      </c>
      <c r="F56" s="2457"/>
      <c r="G56" s="2457"/>
      <c r="H56" s="2457"/>
      <c r="I56" s="2457"/>
      <c r="J56" s="2457"/>
      <c r="K56" s="2457"/>
      <c r="L56" s="2457"/>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8"/>
      <c r="AK56" s="540"/>
      <c r="AL56" s="540"/>
      <c r="AM56" s="540"/>
      <c r="AN56" s="535"/>
      <c r="AO56" s="549">
        <f>IF($B59="yes",7,0)</f>
        <v>0</v>
      </c>
    </row>
    <row r="57" spans="1:42" s="536" customFormat="1" ht="12.75" customHeight="1">
      <c r="A57" s="540"/>
      <c r="B57" s="540"/>
      <c r="C57" s="540"/>
      <c r="D57" s="549"/>
      <c r="E57" s="2612"/>
      <c r="F57" s="2613"/>
      <c r="G57" s="2613"/>
      <c r="H57" s="2613"/>
      <c r="I57" s="2613"/>
      <c r="J57" s="2613"/>
      <c r="K57" s="2613"/>
      <c r="L57" s="2613"/>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4"/>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5" t="s">
        <v>590</v>
      </c>
      <c r="C59" s="2595"/>
      <c r="D59" s="546"/>
      <c r="E59" s="2621" t="s">
        <v>2558</v>
      </c>
      <c r="F59" s="2622"/>
      <c r="G59" s="2622"/>
      <c r="H59" s="2622"/>
      <c r="I59" s="2622"/>
      <c r="J59" s="2622"/>
      <c r="K59" s="2622"/>
      <c r="L59" s="2622"/>
      <c r="M59" s="2622"/>
      <c r="N59" s="2622"/>
      <c r="O59" s="2622"/>
      <c r="P59" s="2622"/>
      <c r="Q59" s="2622"/>
      <c r="R59" s="2622"/>
      <c r="S59" s="2622"/>
      <c r="T59" s="2622"/>
      <c r="U59" s="2622"/>
      <c r="V59" s="2622"/>
      <c r="W59" s="2622"/>
      <c r="X59" s="2622"/>
      <c r="Y59" s="2622"/>
      <c r="Z59" s="2622"/>
      <c r="AA59" s="2622"/>
      <c r="AB59" s="2622"/>
      <c r="AC59" s="2622"/>
      <c r="AD59" s="2622"/>
      <c r="AE59" s="2622"/>
      <c r="AF59" s="2622"/>
      <c r="AG59" s="2622"/>
      <c r="AH59" s="2622"/>
      <c r="AI59" s="2622"/>
      <c r="AJ59" s="262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87">
        <f>AO60</f>
        <v>0</v>
      </c>
      <c r="AL61" s="2588"/>
      <c r="AM61" s="258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3" t="s">
        <v>1306</v>
      </c>
      <c r="AF64" s="2453"/>
      <c r="AG64" s="2453"/>
      <c r="AH64" s="2453"/>
      <c r="AI64" s="2453"/>
      <c r="AJ64" s="2453"/>
      <c r="AK64" s="2453"/>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5" t="s">
        <v>590</v>
      </c>
      <c r="C67" s="2595"/>
      <c r="D67" s="546" t="s">
        <v>1307</v>
      </c>
      <c r="E67" s="2596" t="s">
        <v>1978</v>
      </c>
      <c r="F67" s="2597"/>
      <c r="G67" s="2597"/>
      <c r="H67" s="2597"/>
      <c r="I67" s="2597"/>
      <c r="J67" s="2597"/>
      <c r="K67" s="2597"/>
      <c r="L67" s="2597"/>
      <c r="M67" s="2597"/>
      <c r="N67" s="2597"/>
      <c r="O67" s="2597"/>
      <c r="P67" s="2597"/>
      <c r="Q67" s="2597"/>
      <c r="R67" s="2597"/>
      <c r="S67" s="2597"/>
      <c r="T67" s="2597"/>
      <c r="U67" s="2597"/>
      <c r="V67" s="2597"/>
      <c r="W67" s="2597"/>
      <c r="X67" s="2597"/>
      <c r="Y67" s="2597"/>
      <c r="Z67" s="2597"/>
      <c r="AA67" s="2597"/>
      <c r="AB67" s="2597"/>
      <c r="AC67" s="2597"/>
      <c r="AD67" s="2597"/>
      <c r="AE67" s="2597"/>
      <c r="AF67" s="2597"/>
      <c r="AG67" s="2597"/>
      <c r="AH67" s="2597"/>
      <c r="AI67" s="2597"/>
      <c r="AJ67" s="2598"/>
      <c r="AK67" s="543"/>
      <c r="AL67" s="540"/>
      <c r="AM67" s="540"/>
      <c r="AN67" s="535"/>
      <c r="AO67" s="549">
        <f>IF($B67="yes",10,0)</f>
        <v>0</v>
      </c>
    </row>
    <row r="68" spans="1:42" s="536" customFormat="1" ht="12.75" customHeight="1">
      <c r="A68" s="538"/>
      <c r="B68" s="540"/>
      <c r="C68" s="540"/>
      <c r="D68" s="550"/>
      <c r="E68" s="2599"/>
      <c r="F68" s="2600"/>
      <c r="G68" s="2600"/>
      <c r="H68" s="2600"/>
      <c r="I68" s="2600"/>
      <c r="J68" s="2600"/>
      <c r="K68" s="2600"/>
      <c r="L68" s="2600"/>
      <c r="M68" s="2600"/>
      <c r="N68" s="2600"/>
      <c r="O68" s="2600"/>
      <c r="P68" s="2600"/>
      <c r="Q68" s="2600"/>
      <c r="R68" s="2600"/>
      <c r="S68" s="2600"/>
      <c r="T68" s="2600"/>
      <c r="U68" s="2600"/>
      <c r="V68" s="2600"/>
      <c r="W68" s="2600"/>
      <c r="X68" s="2600"/>
      <c r="Y68" s="2600"/>
      <c r="Z68" s="2600"/>
      <c r="AA68" s="2600"/>
      <c r="AB68" s="2600"/>
      <c r="AC68" s="2600"/>
      <c r="AD68" s="2600"/>
      <c r="AE68" s="2600"/>
      <c r="AF68" s="2600"/>
      <c r="AG68" s="2600"/>
      <c r="AH68" s="2600"/>
      <c r="AI68" s="2600"/>
      <c r="AJ68" s="2601"/>
      <c r="AK68" s="543"/>
      <c r="AL68" s="540"/>
      <c r="AM68" s="540"/>
      <c r="AN68" s="535"/>
      <c r="AO68" s="549">
        <f>IF(AND($B73="yes",OR(E74="Yes",E75="Yes",E76="Yes")),10,0)</f>
        <v>10</v>
      </c>
    </row>
    <row r="69" spans="1:42" s="536" customFormat="1" ht="12.75" customHeight="1">
      <c r="A69" s="538"/>
      <c r="B69" s="540"/>
      <c r="C69" s="540"/>
      <c r="D69" s="550"/>
      <c r="E69" s="2599"/>
      <c r="F69" s="2600"/>
      <c r="G69" s="2600"/>
      <c r="H69" s="2600"/>
      <c r="I69" s="2600"/>
      <c r="J69" s="2600"/>
      <c r="K69" s="2600"/>
      <c r="L69" s="2600"/>
      <c r="M69" s="2600"/>
      <c r="N69" s="2600"/>
      <c r="O69" s="2600"/>
      <c r="P69" s="2600"/>
      <c r="Q69" s="2600"/>
      <c r="R69" s="2600"/>
      <c r="S69" s="2600"/>
      <c r="T69" s="2600"/>
      <c r="U69" s="2600"/>
      <c r="V69" s="2600"/>
      <c r="W69" s="2600"/>
      <c r="X69" s="2600"/>
      <c r="Y69" s="2600"/>
      <c r="Z69" s="2600"/>
      <c r="AA69" s="2600"/>
      <c r="AB69" s="2600"/>
      <c r="AC69" s="2600"/>
      <c r="AD69" s="2600"/>
      <c r="AE69" s="2600"/>
      <c r="AF69" s="2600"/>
      <c r="AG69" s="2600"/>
      <c r="AH69" s="2600"/>
      <c r="AI69" s="2600"/>
      <c r="AJ69" s="2601"/>
      <c r="AK69" s="543"/>
      <c r="AL69" s="540"/>
      <c r="AM69" s="540"/>
      <c r="AN69" s="535"/>
      <c r="AO69" s="549">
        <f>IF($B78="yes",10,0)</f>
        <v>0</v>
      </c>
    </row>
    <row r="70" spans="1:42" s="536" customFormat="1" ht="12.75" customHeight="1">
      <c r="A70" s="538"/>
      <c r="B70" s="540"/>
      <c r="C70" s="540"/>
      <c r="D70" s="550"/>
      <c r="E70" s="2599"/>
      <c r="F70" s="2600"/>
      <c r="G70" s="2600"/>
      <c r="H70" s="2600"/>
      <c r="I70" s="2600"/>
      <c r="J70" s="2600"/>
      <c r="K70" s="2600"/>
      <c r="L70" s="2600"/>
      <c r="M70" s="2600"/>
      <c r="N70" s="2600"/>
      <c r="O70" s="2600"/>
      <c r="P70" s="2600"/>
      <c r="Q70" s="2600"/>
      <c r="R70" s="2600"/>
      <c r="S70" s="2600"/>
      <c r="T70" s="2600"/>
      <c r="U70" s="2600"/>
      <c r="V70" s="2600"/>
      <c r="W70" s="2600"/>
      <c r="X70" s="2600"/>
      <c r="Y70" s="2600"/>
      <c r="Z70" s="2600"/>
      <c r="AA70" s="2600"/>
      <c r="AB70" s="2600"/>
      <c r="AC70" s="2600"/>
      <c r="AD70" s="2600"/>
      <c r="AE70" s="2600"/>
      <c r="AF70" s="2600"/>
      <c r="AG70" s="2600"/>
      <c r="AH70" s="2600"/>
      <c r="AI70" s="2600"/>
      <c r="AJ70" s="2601"/>
      <c r="AK70" s="543"/>
      <c r="AL70" s="540"/>
      <c r="AM70" s="540"/>
      <c r="AN70" s="535"/>
      <c r="AO70" s="549">
        <f>IF($B81="yes",10,0)</f>
        <v>0</v>
      </c>
    </row>
    <row r="71" spans="1:42" s="536" customFormat="1" ht="12.75" customHeight="1">
      <c r="A71" s="538"/>
      <c r="B71" s="540"/>
      <c r="C71" s="540"/>
      <c r="D71" s="550"/>
      <c r="E71" s="2637"/>
      <c r="F71" s="2638"/>
      <c r="G71" s="2638"/>
      <c r="H71" s="2638"/>
      <c r="I71" s="2638"/>
      <c r="J71" s="2638"/>
      <c r="K71" s="2638"/>
      <c r="L71" s="2638"/>
      <c r="M71" s="2638"/>
      <c r="N71" s="2638"/>
      <c r="O71" s="2638"/>
      <c r="P71" s="2638"/>
      <c r="Q71" s="2638"/>
      <c r="R71" s="2638"/>
      <c r="S71" s="2638"/>
      <c r="T71" s="2638"/>
      <c r="U71" s="2638"/>
      <c r="V71" s="2638"/>
      <c r="W71" s="2638"/>
      <c r="X71" s="2638"/>
      <c r="Y71" s="2638"/>
      <c r="Z71" s="2638"/>
      <c r="AA71" s="2638"/>
      <c r="AB71" s="2638"/>
      <c r="AC71" s="2638"/>
      <c r="AD71" s="2638"/>
      <c r="AE71" s="2638"/>
      <c r="AF71" s="2638"/>
      <c r="AG71" s="2638"/>
      <c r="AH71" s="2638"/>
      <c r="AI71" s="2638"/>
      <c r="AJ71" s="2639"/>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5" t="s">
        <v>544</v>
      </c>
      <c r="C73" s="2595"/>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3" t="s">
        <v>544</v>
      </c>
      <c r="F74" s="2595"/>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1" t="s">
        <v>590</v>
      </c>
      <c r="F75" s="2642"/>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1" t="s">
        <v>590</v>
      </c>
      <c r="F76" s="2642"/>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5" t="s">
        <v>590</v>
      </c>
      <c r="C78" s="2595"/>
      <c r="D78" s="546" t="s">
        <v>1312</v>
      </c>
      <c r="E78" s="2456" t="s">
        <v>1726</v>
      </c>
      <c r="F78" s="2457"/>
      <c r="G78" s="2457"/>
      <c r="H78" s="2457"/>
      <c r="I78" s="2457"/>
      <c r="J78" s="2457"/>
      <c r="K78" s="2457"/>
      <c r="L78" s="2457"/>
      <c r="M78" s="2457"/>
      <c r="N78" s="2457"/>
      <c r="O78" s="2457"/>
      <c r="P78" s="2457"/>
      <c r="Q78" s="2457"/>
      <c r="R78" s="2457"/>
      <c r="S78" s="2457"/>
      <c r="T78" s="2457"/>
      <c r="U78" s="2457"/>
      <c r="V78" s="2457"/>
      <c r="W78" s="2457"/>
      <c r="X78" s="2457"/>
      <c r="Y78" s="2457"/>
      <c r="Z78" s="2457"/>
      <c r="AA78" s="2457"/>
      <c r="AB78" s="2457"/>
      <c r="AC78" s="2457"/>
      <c r="AD78" s="2457"/>
      <c r="AE78" s="2457"/>
      <c r="AF78" s="2457"/>
      <c r="AG78" s="2457"/>
      <c r="AH78" s="2457"/>
      <c r="AI78" s="2457"/>
      <c r="AJ78" s="2458"/>
      <c r="AK78" s="543"/>
      <c r="AL78" s="540"/>
      <c r="AM78" s="540"/>
      <c r="AN78" s="535"/>
    </row>
    <row r="79" spans="1:42" s="536" customFormat="1" ht="12.75" customHeight="1">
      <c r="A79" s="538"/>
      <c r="B79" s="540"/>
      <c r="C79" s="540"/>
      <c r="E79" s="2612"/>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613"/>
      <c r="AC79" s="2613"/>
      <c r="AD79" s="2613"/>
      <c r="AE79" s="2613"/>
      <c r="AF79" s="2613"/>
      <c r="AG79" s="2613"/>
      <c r="AH79" s="2613"/>
      <c r="AI79" s="2613"/>
      <c r="AJ79" s="2614"/>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5" t="s">
        <v>590</v>
      </c>
      <c r="C81" s="2595"/>
      <c r="D81" s="546" t="s">
        <v>1459</v>
      </c>
      <c r="E81" s="2621" t="s">
        <v>1724</v>
      </c>
      <c r="F81" s="2622"/>
      <c r="G81" s="2622"/>
      <c r="H81" s="2622"/>
      <c r="I81" s="2622"/>
      <c r="J81" s="2622"/>
      <c r="K81" s="2622"/>
      <c r="L81" s="2622"/>
      <c r="M81" s="2622"/>
      <c r="N81" s="2622"/>
      <c r="O81" s="2622"/>
      <c r="P81" s="2622"/>
      <c r="Q81" s="2622"/>
      <c r="R81" s="2622"/>
      <c r="S81" s="2622"/>
      <c r="T81" s="2622"/>
      <c r="U81" s="2622"/>
      <c r="V81" s="2622"/>
      <c r="W81" s="2622"/>
      <c r="X81" s="2622"/>
      <c r="Y81" s="2622"/>
      <c r="Z81" s="2622"/>
      <c r="AA81" s="2622"/>
      <c r="AB81" s="2622"/>
      <c r="AC81" s="2622"/>
      <c r="AD81" s="2622"/>
      <c r="AE81" s="2622"/>
      <c r="AF81" s="2622"/>
      <c r="AG81" s="2622"/>
      <c r="AH81" s="2622"/>
      <c r="AI81" s="2622"/>
      <c r="AJ81" s="262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7">
        <f>IF(AK61&gt;0,0,AO71)</f>
        <v>10</v>
      </c>
      <c r="AL83" s="2588"/>
      <c r="AM83" s="258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3" t="s">
        <v>1301</v>
      </c>
      <c r="AF86" s="2453"/>
      <c r="AG86" s="2453"/>
      <c r="AH86" s="2453"/>
      <c r="AI86" s="2453"/>
      <c r="AJ86" s="2453"/>
      <c r="AK86" s="2453"/>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5" t="s">
        <v>590</v>
      </c>
      <c r="C89" s="2595"/>
      <c r="D89" s="546" t="s">
        <v>1307</v>
      </c>
      <c r="E89" s="2596" t="s">
        <v>1317</v>
      </c>
      <c r="F89" s="2597"/>
      <c r="G89" s="2597"/>
      <c r="H89" s="2597"/>
      <c r="I89" s="2597"/>
      <c r="J89" s="2597"/>
      <c r="K89" s="2597"/>
      <c r="L89" s="2597"/>
      <c r="M89" s="2597"/>
      <c r="N89" s="2597"/>
      <c r="O89" s="2597"/>
      <c r="P89" s="2597"/>
      <c r="Q89" s="2597"/>
      <c r="R89" s="2597"/>
      <c r="S89" s="2597"/>
      <c r="T89" s="2597"/>
      <c r="U89" s="2597"/>
      <c r="V89" s="2597"/>
      <c r="W89" s="2597"/>
      <c r="X89" s="2597"/>
      <c r="Y89" s="2597"/>
      <c r="Z89" s="2597"/>
      <c r="AA89" s="2597"/>
      <c r="AB89" s="2597"/>
      <c r="AC89" s="2597"/>
      <c r="AD89" s="2597"/>
      <c r="AE89" s="2597"/>
      <c r="AF89" s="2597"/>
      <c r="AG89" s="2597"/>
      <c r="AH89" s="2597"/>
      <c r="AI89" s="2597"/>
      <c r="AJ89" s="2598"/>
      <c r="AK89" s="543"/>
      <c r="AL89" s="540"/>
      <c r="AM89" s="540"/>
      <c r="AN89" s="535"/>
    </row>
    <row r="90" spans="1:43" s="536" customFormat="1" ht="12.75" customHeight="1">
      <c r="A90" s="538"/>
      <c r="B90" s="539"/>
      <c r="C90" s="539"/>
      <c r="D90" s="539"/>
      <c r="E90" s="2599"/>
      <c r="F90" s="2600"/>
      <c r="G90" s="2600"/>
      <c r="H90" s="2600"/>
      <c r="I90" s="2600"/>
      <c r="J90" s="2600"/>
      <c r="K90" s="2600"/>
      <c r="L90" s="2600"/>
      <c r="M90" s="2600"/>
      <c r="N90" s="2600"/>
      <c r="O90" s="2600"/>
      <c r="P90" s="2600"/>
      <c r="Q90" s="2600"/>
      <c r="R90" s="2600"/>
      <c r="S90" s="2600"/>
      <c r="T90" s="2600"/>
      <c r="U90" s="2600"/>
      <c r="V90" s="2600"/>
      <c r="W90" s="2600"/>
      <c r="X90" s="2600"/>
      <c r="Y90" s="2600"/>
      <c r="Z90" s="2600"/>
      <c r="AA90" s="2600"/>
      <c r="AB90" s="2600"/>
      <c r="AC90" s="2600"/>
      <c r="AD90" s="2600"/>
      <c r="AE90" s="2600"/>
      <c r="AF90" s="2600"/>
      <c r="AG90" s="2600"/>
      <c r="AH90" s="2600"/>
      <c r="AI90" s="2600"/>
      <c r="AJ90" s="260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8">
        <f>Application!AC761</f>
        <v>0.6</v>
      </c>
      <c r="F92" s="2609"/>
      <c r="G92" s="2609"/>
      <c r="H92" s="2609"/>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0">
        <f>0.6-ROUNDUP(E92,2)</f>
        <v>0</v>
      </c>
      <c r="F93" s="2427"/>
      <c r="G93" s="2427"/>
      <c r="H93" s="2427"/>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9">
        <f>IF(E93*200&gt;20,20,E93*200)</f>
        <v>0</v>
      </c>
      <c r="F94" s="2620"/>
      <c r="G94" s="2620"/>
      <c r="H94" s="2620"/>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5" t="s">
        <v>544</v>
      </c>
      <c r="C97" s="2595"/>
      <c r="D97" s="546" t="s">
        <v>1309</v>
      </c>
      <c r="E97" s="2596" t="s">
        <v>1712</v>
      </c>
      <c r="F97" s="2597"/>
      <c r="G97" s="2597"/>
      <c r="H97" s="2597"/>
      <c r="I97" s="2597"/>
      <c r="J97" s="2597"/>
      <c r="K97" s="2597"/>
      <c r="L97" s="2597"/>
      <c r="M97" s="2597"/>
      <c r="N97" s="2597"/>
      <c r="O97" s="2597"/>
      <c r="P97" s="2597"/>
      <c r="Q97" s="2597"/>
      <c r="R97" s="2597"/>
      <c r="S97" s="2597"/>
      <c r="T97" s="2597"/>
      <c r="U97" s="2597"/>
      <c r="V97" s="2597"/>
      <c r="W97" s="2597"/>
      <c r="X97" s="2597"/>
      <c r="Y97" s="2597"/>
      <c r="Z97" s="2597"/>
      <c r="AA97" s="2597"/>
      <c r="AB97" s="2597"/>
      <c r="AC97" s="2597"/>
      <c r="AD97" s="2597"/>
      <c r="AE97" s="2597"/>
      <c r="AF97" s="2597"/>
      <c r="AG97" s="2597"/>
      <c r="AH97" s="2597"/>
      <c r="AI97" s="2597"/>
      <c r="AJ97" s="2598"/>
      <c r="AK97" s="543"/>
      <c r="AL97" s="540"/>
      <c r="AM97" s="540"/>
      <c r="AN97" s="535"/>
    </row>
    <row r="98" spans="1:47" s="536" customFormat="1" ht="12.75" customHeight="1">
      <c r="A98" s="538"/>
      <c r="B98" s="539"/>
      <c r="C98" s="539"/>
      <c r="D98" s="539"/>
      <c r="E98" s="2599"/>
      <c r="F98" s="2600"/>
      <c r="G98" s="2600"/>
      <c r="H98" s="2600"/>
      <c r="I98" s="2600"/>
      <c r="J98" s="2600"/>
      <c r="K98" s="2600"/>
      <c r="L98" s="2600"/>
      <c r="M98" s="2600"/>
      <c r="N98" s="2600"/>
      <c r="O98" s="2600"/>
      <c r="P98" s="2600"/>
      <c r="Q98" s="2600"/>
      <c r="R98" s="2600"/>
      <c r="S98" s="2600"/>
      <c r="T98" s="2600"/>
      <c r="U98" s="2600"/>
      <c r="V98" s="2600"/>
      <c r="W98" s="2600"/>
      <c r="X98" s="2600"/>
      <c r="Y98" s="2600"/>
      <c r="Z98" s="2600"/>
      <c r="AA98" s="2600"/>
      <c r="AB98" s="2600"/>
      <c r="AC98" s="2600"/>
      <c r="AD98" s="2600"/>
      <c r="AE98" s="2600"/>
      <c r="AF98" s="2600"/>
      <c r="AG98" s="2600"/>
      <c r="AH98" s="2600"/>
      <c r="AI98" s="2600"/>
      <c r="AJ98" s="2601"/>
      <c r="AK98" s="543"/>
      <c r="AL98" s="540"/>
      <c r="AM98" s="540"/>
      <c r="AN98" s="535"/>
    </row>
    <row r="99" spans="1:47" s="536" customFormat="1" ht="12.75" customHeight="1">
      <c r="A99" s="538"/>
      <c r="B99" s="539"/>
      <c r="C99" s="539"/>
      <c r="D99" s="539"/>
      <c r="E99" s="2599"/>
      <c r="F99" s="2600"/>
      <c r="G99" s="2600"/>
      <c r="H99" s="2600"/>
      <c r="I99" s="2600"/>
      <c r="J99" s="2600"/>
      <c r="K99" s="2600"/>
      <c r="L99" s="2600"/>
      <c r="M99" s="2600"/>
      <c r="N99" s="2600"/>
      <c r="O99" s="2600"/>
      <c r="P99" s="2600"/>
      <c r="Q99" s="2600"/>
      <c r="R99" s="2600"/>
      <c r="S99" s="2600"/>
      <c r="T99" s="2600"/>
      <c r="U99" s="2600"/>
      <c r="V99" s="2600"/>
      <c r="W99" s="2600"/>
      <c r="X99" s="2600"/>
      <c r="Y99" s="2600"/>
      <c r="Z99" s="2600"/>
      <c r="AA99" s="2600"/>
      <c r="AB99" s="2600"/>
      <c r="AC99" s="2600"/>
      <c r="AD99" s="2600"/>
      <c r="AE99" s="2600"/>
      <c r="AF99" s="2600"/>
      <c r="AG99" s="2600"/>
      <c r="AH99" s="2600"/>
      <c r="AI99" s="2600"/>
      <c r="AJ99" s="2601"/>
      <c r="AK99" s="543"/>
      <c r="AL99" s="540"/>
      <c r="AM99" s="540"/>
      <c r="AN99" s="535"/>
    </row>
    <row r="100" spans="1:47" s="536" customFormat="1" ht="12.75" customHeight="1">
      <c r="A100" s="538"/>
      <c r="B100" s="539"/>
      <c r="C100" s="539"/>
      <c r="D100" s="539"/>
      <c r="E100" s="2599"/>
      <c r="F100" s="2600"/>
      <c r="G100" s="2600"/>
      <c r="H100" s="2600"/>
      <c r="I100" s="2600"/>
      <c r="J100" s="2600"/>
      <c r="K100" s="2600"/>
      <c r="L100" s="2600"/>
      <c r="M100" s="2600"/>
      <c r="N100" s="2600"/>
      <c r="O100" s="2600"/>
      <c r="P100" s="2600"/>
      <c r="Q100" s="2600"/>
      <c r="R100" s="2600"/>
      <c r="S100" s="2600"/>
      <c r="T100" s="2600"/>
      <c r="U100" s="2600"/>
      <c r="V100" s="2600"/>
      <c r="W100" s="2600"/>
      <c r="X100" s="2600"/>
      <c r="Y100" s="2600"/>
      <c r="Z100" s="2600"/>
      <c r="AA100" s="2600"/>
      <c r="AB100" s="2600"/>
      <c r="AC100" s="2600"/>
      <c r="AD100" s="2600"/>
      <c r="AE100" s="2600"/>
      <c r="AF100" s="2600"/>
      <c r="AG100" s="2600"/>
      <c r="AH100" s="2600"/>
      <c r="AI100" s="2600"/>
      <c r="AJ100" s="260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8">
        <f>Application!AC761</f>
        <v>0.6</v>
      </c>
      <c r="F102" s="2609"/>
      <c r="G102" s="2609"/>
      <c r="H102" s="2609"/>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8">
        <f ca="1">SUMIF(Application!AC726:AG760,0.2,Application!G726:J760)/Application!G761+SUMIF(Application!AC726:AG760,0.25,Application!G726:J760)/Application!G761+SUMIF(Application!AC726:AG760,0.3,Application!G726:J760)/Application!G761</f>
        <v>0.10457516339869281</v>
      </c>
      <c r="F103" s="2609"/>
      <c r="G103" s="2609"/>
      <c r="H103" s="2609"/>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8">
        <f ca="1">SUMIF(Application!AC726:AG760,0.35,Application!G726:J760)/Application!G761+SUMIF(Application!AC726:AG760,0.4,Application!G726:J760)/Application!G761+SUMIF(Application!AC726:AG760,0.45,Application!G726:J760)/Application!G761+SUMIF(Application!AC726:AG760,0.5,Application!G726:J760)/Application!G761</f>
        <v>0.1111111111111111</v>
      </c>
      <c r="F104" s="2609"/>
      <c r="G104" s="2609"/>
      <c r="H104" s="2609"/>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6">
        <f ca="1">IF(AND(E102&lt;=0.6,OR(AND(E103&gt;=0.1,E104&gt;=0.1),AND(E103&gt;0.1,(E103+E104)&gt;=0.2))),20,0)</f>
        <v>20</v>
      </c>
      <c r="F105" s="2607"/>
      <c r="G105" s="2607"/>
      <c r="H105" s="2607"/>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7">
        <f ca="1">MAX(AP94,AP105)</f>
        <v>20</v>
      </c>
      <c r="AL108" s="2588"/>
      <c r="AM108" s="258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3" t="s">
        <v>1306</v>
      </c>
      <c r="AF111" s="2453"/>
      <c r="AG111" s="2453"/>
      <c r="AH111" s="2453"/>
      <c r="AI111" s="2453"/>
      <c r="AJ111" s="2453"/>
      <c r="AK111" s="2453"/>
      <c r="AL111" s="540"/>
      <c r="AM111" s="540"/>
      <c r="AN111" s="535"/>
      <c r="AO111" s="536" t="str">
        <f>Application!B726</f>
        <v>1 Bedroom</v>
      </c>
      <c r="AQ111" s="536">
        <f>Application!O726</f>
        <v>776</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1344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1628</v>
      </c>
    </row>
    <row r="114" spans="1:52" s="536" customFormat="1" ht="12.75" customHeight="1">
      <c r="A114" s="540"/>
      <c r="B114" s="2595" t="s">
        <v>544</v>
      </c>
      <c r="C114" s="2595"/>
      <c r="D114" s="546" t="s">
        <v>1307</v>
      </c>
      <c r="E114" s="2596" t="s">
        <v>2560</v>
      </c>
      <c r="F114" s="2597"/>
      <c r="G114" s="2597"/>
      <c r="H114" s="2597"/>
      <c r="I114" s="2597"/>
      <c r="J114" s="2597"/>
      <c r="K114" s="2597"/>
      <c r="L114" s="2597"/>
      <c r="M114" s="2597"/>
      <c r="N114" s="2597"/>
      <c r="O114" s="2597"/>
      <c r="P114" s="2597"/>
      <c r="Q114" s="2597"/>
      <c r="R114" s="2597"/>
      <c r="S114" s="2597"/>
      <c r="T114" s="2597"/>
      <c r="U114" s="2597"/>
      <c r="V114" s="2597"/>
      <c r="W114" s="2597"/>
      <c r="X114" s="2597"/>
      <c r="Y114" s="2597"/>
      <c r="Z114" s="2597"/>
      <c r="AA114" s="2597"/>
      <c r="AB114" s="2597"/>
      <c r="AC114" s="2597"/>
      <c r="AD114" s="2597"/>
      <c r="AE114" s="2597"/>
      <c r="AF114" s="2597"/>
      <c r="AG114" s="2597"/>
      <c r="AH114" s="2597"/>
      <c r="AI114" s="2597"/>
      <c r="AJ114" s="2598"/>
      <c r="AK114" s="540"/>
      <c r="AL114" s="540"/>
      <c r="AM114" s="540"/>
      <c r="AN114" s="535"/>
      <c r="AO114" s="536" t="str">
        <f>Application!B729</f>
        <v>2 Bedrooms</v>
      </c>
      <c r="AQ114" s="536">
        <f>Application!O729</f>
        <v>1599</v>
      </c>
      <c r="AU114" s="536" t="s">
        <v>1814</v>
      </c>
      <c r="AV114" s="593" t="s">
        <v>1815</v>
      </c>
      <c r="AW114" s="536" t="s">
        <v>1816</v>
      </c>
    </row>
    <row r="115" spans="1:52" s="536" customFormat="1" ht="12.75" customHeight="1">
      <c r="A115" s="540"/>
      <c r="B115" s="539"/>
      <c r="C115" s="539"/>
      <c r="D115" s="539"/>
      <c r="E115" s="2599"/>
      <c r="F115" s="2600"/>
      <c r="G115" s="2600"/>
      <c r="H115" s="2600"/>
      <c r="I115" s="2600"/>
      <c r="J115" s="2600"/>
      <c r="K115" s="2600"/>
      <c r="L115" s="2600"/>
      <c r="M115" s="2600"/>
      <c r="N115" s="2600"/>
      <c r="O115" s="2600"/>
      <c r="P115" s="2600"/>
      <c r="Q115" s="2600"/>
      <c r="R115" s="2600"/>
      <c r="S115" s="2600"/>
      <c r="T115" s="2600"/>
      <c r="U115" s="2600"/>
      <c r="V115" s="2600"/>
      <c r="W115" s="2600"/>
      <c r="X115" s="2600"/>
      <c r="Y115" s="2600"/>
      <c r="Z115" s="2600"/>
      <c r="AA115" s="2600"/>
      <c r="AB115" s="2600"/>
      <c r="AC115" s="2600"/>
      <c r="AD115" s="2600"/>
      <c r="AE115" s="2600"/>
      <c r="AF115" s="2600"/>
      <c r="AG115" s="2600"/>
      <c r="AH115" s="2600"/>
      <c r="AI115" s="2600"/>
      <c r="AJ115" s="2601"/>
      <c r="AK115" s="540"/>
      <c r="AL115" s="540"/>
      <c r="AM115" s="540"/>
      <c r="AN115" s="535"/>
      <c r="AO115" s="536" t="str">
        <f>Application!B730</f>
        <v>2 Bedrooms</v>
      </c>
      <c r="AQ115" s="536">
        <f>Application!O730</f>
        <v>1939.6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9"/>
      <c r="F116" s="2600"/>
      <c r="G116" s="2600"/>
      <c r="H116" s="2600"/>
      <c r="I116" s="2600"/>
      <c r="J116" s="2600"/>
      <c r="K116" s="2600"/>
      <c r="L116" s="2600"/>
      <c r="M116" s="2600"/>
      <c r="N116" s="2600"/>
      <c r="O116" s="2600"/>
      <c r="P116" s="2600"/>
      <c r="Q116" s="2600"/>
      <c r="R116" s="2600"/>
      <c r="S116" s="2600"/>
      <c r="T116" s="2600"/>
      <c r="U116" s="2600"/>
      <c r="V116" s="2600"/>
      <c r="W116" s="2600"/>
      <c r="X116" s="2600"/>
      <c r="Y116" s="2600"/>
      <c r="Z116" s="2600"/>
      <c r="AA116" s="2600"/>
      <c r="AB116" s="2600"/>
      <c r="AC116" s="2600"/>
      <c r="AD116" s="2600"/>
      <c r="AE116" s="2600"/>
      <c r="AF116" s="2600"/>
      <c r="AG116" s="2600"/>
      <c r="AH116" s="2600"/>
      <c r="AI116" s="2600"/>
      <c r="AJ116" s="2601"/>
      <c r="AK116" s="540"/>
      <c r="AL116" s="540"/>
      <c r="AM116" s="540"/>
      <c r="AN116" s="535"/>
      <c r="AO116" s="536" t="str">
        <f>Application!B731</f>
        <v>2 Bedrooms</v>
      </c>
      <c r="AQ116" s="536">
        <f>Application!O731</f>
        <v>2281</v>
      </c>
      <c r="AU116" s="852" t="str">
        <f>J123</f>
        <v>1-bedroom</v>
      </c>
      <c r="AV116" s="536">
        <f t="array" ref="AV116">SUM(IF(Application!B726:F760="1 Bedroom",Application!G726:J760))</f>
        <v>61</v>
      </c>
      <c r="AW116" s="1006">
        <f>AV116/AV121</f>
        <v>0.39869281045751637</v>
      </c>
    </row>
    <row r="117" spans="1:52" s="536" customFormat="1" ht="12.75" customHeight="1">
      <c r="A117" s="540"/>
      <c r="B117" s="539"/>
      <c r="C117" s="539"/>
      <c r="D117" s="539"/>
      <c r="E117" s="2599"/>
      <c r="F117" s="2600"/>
      <c r="G117" s="2600"/>
      <c r="H117" s="2600"/>
      <c r="I117" s="2600"/>
      <c r="J117" s="2600"/>
      <c r="K117" s="2600"/>
      <c r="L117" s="2600"/>
      <c r="M117" s="2600"/>
      <c r="N117" s="2600"/>
      <c r="O117" s="2600"/>
      <c r="P117" s="2600"/>
      <c r="Q117" s="2600"/>
      <c r="R117" s="2600"/>
      <c r="S117" s="2600"/>
      <c r="T117" s="2600"/>
      <c r="U117" s="2600"/>
      <c r="V117" s="2600"/>
      <c r="W117" s="2600"/>
      <c r="X117" s="2600"/>
      <c r="Y117" s="2600"/>
      <c r="Z117" s="2600"/>
      <c r="AA117" s="2600"/>
      <c r="AB117" s="2600"/>
      <c r="AC117" s="2600"/>
      <c r="AD117" s="2600"/>
      <c r="AE117" s="2600"/>
      <c r="AF117" s="2600"/>
      <c r="AG117" s="2600"/>
      <c r="AH117" s="2600"/>
      <c r="AI117" s="2600"/>
      <c r="AJ117" s="2601"/>
      <c r="AK117" s="540"/>
      <c r="AL117" s="540"/>
      <c r="AM117" s="540"/>
      <c r="AN117" s="535"/>
      <c r="AO117" s="536" t="str">
        <f>Application!B732</f>
        <v>3 Bedrooms</v>
      </c>
      <c r="AQ117" s="536">
        <f>Application!O732</f>
        <v>1838</v>
      </c>
      <c r="AU117" s="852" t="str">
        <f>O123</f>
        <v>2-bedroom</v>
      </c>
      <c r="AV117" s="536">
        <f t="array" ref="AV117">SUM(IF(Application!B726:F760="2 Bedrooms",Application!G726:J760))</f>
        <v>48</v>
      </c>
      <c r="AW117" s="1006">
        <f>AV117/AV121</f>
        <v>0.31372549019607843</v>
      </c>
    </row>
    <row r="118" spans="1:52" s="536" customFormat="1" ht="12.75" customHeight="1">
      <c r="A118" s="540"/>
      <c r="B118" s="539"/>
      <c r="C118" s="539"/>
      <c r="D118" s="539"/>
      <c r="E118" s="2599"/>
      <c r="F118" s="2600"/>
      <c r="G118" s="2600"/>
      <c r="H118" s="2600"/>
      <c r="I118" s="2600"/>
      <c r="J118" s="2600"/>
      <c r="K118" s="2600"/>
      <c r="L118" s="2600"/>
      <c r="M118" s="2600"/>
      <c r="N118" s="2600"/>
      <c r="O118" s="2600"/>
      <c r="P118" s="2600"/>
      <c r="Q118" s="2600"/>
      <c r="R118" s="2600"/>
      <c r="S118" s="2600"/>
      <c r="T118" s="2600"/>
      <c r="U118" s="2600"/>
      <c r="V118" s="2600"/>
      <c r="W118" s="2600"/>
      <c r="X118" s="2600"/>
      <c r="Y118" s="2600"/>
      <c r="Z118" s="2600"/>
      <c r="AA118" s="2600"/>
      <c r="AB118" s="2600"/>
      <c r="AC118" s="2600"/>
      <c r="AD118" s="2600"/>
      <c r="AE118" s="2600"/>
      <c r="AF118" s="2600"/>
      <c r="AG118" s="2600"/>
      <c r="AH118" s="2600"/>
      <c r="AI118" s="2600"/>
      <c r="AJ118" s="2601"/>
      <c r="AK118" s="540"/>
      <c r="AL118" s="540"/>
      <c r="AM118" s="540"/>
      <c r="AN118" s="535"/>
      <c r="AO118" s="536" t="str">
        <f>Application!B733</f>
        <v>3 Bedrooms</v>
      </c>
      <c r="AQ118" s="536">
        <f>Application!O733</f>
        <v>2625.6</v>
      </c>
      <c r="AU118" s="852" t="str">
        <f>T123</f>
        <v>3-bedroom</v>
      </c>
      <c r="AV118" s="536">
        <f t="array" ref="AV118">SUM(IF(Application!B726:F760="3 Bedrooms",Application!G726:J760))</f>
        <v>44</v>
      </c>
      <c r="AW118" s="1006">
        <f>AV118/AV121</f>
        <v>0.28758169934640521</v>
      </c>
    </row>
    <row r="119" spans="1:52" s="536" customFormat="1" ht="12.75" customHeight="1">
      <c r="A119" s="540"/>
      <c r="B119" s="539"/>
      <c r="C119" s="539"/>
      <c r="D119" s="539"/>
      <c r="E119" s="2599"/>
      <c r="F119" s="2600"/>
      <c r="G119" s="2600"/>
      <c r="H119" s="2600"/>
      <c r="I119" s="2600"/>
      <c r="J119" s="2600"/>
      <c r="K119" s="2600"/>
      <c r="L119" s="2600"/>
      <c r="M119" s="2600"/>
      <c r="N119" s="2600"/>
      <c r="O119" s="2600"/>
      <c r="P119" s="2600"/>
      <c r="Q119" s="2600"/>
      <c r="R119" s="2600"/>
      <c r="S119" s="2600"/>
      <c r="T119" s="2600"/>
      <c r="U119" s="2600"/>
      <c r="V119" s="2600"/>
      <c r="W119" s="2600"/>
      <c r="X119" s="2600"/>
      <c r="Y119" s="2600"/>
      <c r="Z119" s="2600"/>
      <c r="AA119" s="2600"/>
      <c r="AB119" s="2600"/>
      <c r="AC119" s="2600"/>
      <c r="AD119" s="2600"/>
      <c r="AE119" s="2600"/>
      <c r="AF119" s="2600"/>
      <c r="AG119" s="2600"/>
      <c r="AH119" s="2600"/>
      <c r="AI119" s="2600"/>
      <c r="AJ119" s="260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9"/>
      <c r="F120" s="2600"/>
      <c r="G120" s="2600"/>
      <c r="H120" s="2600"/>
      <c r="I120" s="2600"/>
      <c r="J120" s="2600"/>
      <c r="K120" s="2600"/>
      <c r="L120" s="2600"/>
      <c r="M120" s="2600"/>
      <c r="N120" s="2600"/>
      <c r="O120" s="2600"/>
      <c r="P120" s="2600"/>
      <c r="Q120" s="2600"/>
      <c r="R120" s="2600"/>
      <c r="S120" s="2600"/>
      <c r="T120" s="2600"/>
      <c r="U120" s="2600"/>
      <c r="V120" s="2600"/>
      <c r="W120" s="2600"/>
      <c r="X120" s="2600"/>
      <c r="Y120" s="2600"/>
      <c r="Z120" s="2600"/>
      <c r="AA120" s="2600"/>
      <c r="AB120" s="2600"/>
      <c r="AC120" s="2600"/>
      <c r="AD120" s="2600"/>
      <c r="AE120" s="2600"/>
      <c r="AF120" s="2600"/>
      <c r="AG120" s="2600"/>
      <c r="AH120" s="2600"/>
      <c r="AI120" s="2600"/>
      <c r="AJ120" s="260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9"/>
      <c r="F121" s="2600"/>
      <c r="G121" s="2600"/>
      <c r="H121" s="2600"/>
      <c r="I121" s="2600"/>
      <c r="J121" s="2600"/>
      <c r="K121" s="2600"/>
      <c r="L121" s="2600"/>
      <c r="M121" s="2600"/>
      <c r="N121" s="2600"/>
      <c r="O121" s="2600"/>
      <c r="P121" s="2600"/>
      <c r="Q121" s="2600"/>
      <c r="R121" s="2600"/>
      <c r="S121" s="2600"/>
      <c r="T121" s="2600"/>
      <c r="U121" s="2600"/>
      <c r="V121" s="2600"/>
      <c r="W121" s="2600"/>
      <c r="X121" s="2600"/>
      <c r="Y121" s="2600"/>
      <c r="Z121" s="2600"/>
      <c r="AA121" s="2600"/>
      <c r="AB121" s="2600"/>
      <c r="AC121" s="2600"/>
      <c r="AD121" s="2600"/>
      <c r="AE121" s="2600"/>
      <c r="AF121" s="2600"/>
      <c r="AG121" s="2600"/>
      <c r="AH121" s="2600"/>
      <c r="AI121" s="2600"/>
      <c r="AJ121" s="2601"/>
      <c r="AK121" s="540"/>
      <c r="AL121" s="540"/>
      <c r="AM121" s="540"/>
      <c r="AN121" s="535"/>
      <c r="AO121" s="536">
        <f>Application!B736</f>
        <v>0</v>
      </c>
      <c r="AQ121" s="536">
        <f>Application!O736</f>
        <v>0</v>
      </c>
      <c r="AV121" s="536">
        <f>SUM(AV115:AV120)</f>
        <v>153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8" t="s">
        <v>1575</v>
      </c>
      <c r="F123" s="2609"/>
      <c r="G123" s="2609"/>
      <c r="H123" s="2609"/>
      <c r="I123" s="575"/>
      <c r="J123" s="2609" t="s">
        <v>1618</v>
      </c>
      <c r="K123" s="2609"/>
      <c r="L123" s="2609"/>
      <c r="M123" s="2609"/>
      <c r="N123" s="575"/>
      <c r="O123" s="2609" t="s">
        <v>1619</v>
      </c>
      <c r="P123" s="2609"/>
      <c r="Q123" s="2609"/>
      <c r="R123" s="2609"/>
      <c r="S123" s="575"/>
      <c r="T123" s="2609" t="s">
        <v>1326</v>
      </c>
      <c r="U123" s="2609"/>
      <c r="V123" s="2609"/>
      <c r="W123" s="2609"/>
      <c r="X123" s="575"/>
      <c r="Y123" s="2609" t="s">
        <v>1620</v>
      </c>
      <c r="Z123" s="2609"/>
      <c r="AA123" s="2609"/>
      <c r="AB123" s="2609"/>
      <c r="AC123" s="575"/>
      <c r="AD123" s="2609" t="s">
        <v>1621</v>
      </c>
      <c r="AE123" s="2609"/>
      <c r="AF123" s="2609"/>
      <c r="AG123" s="2609"/>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0"/>
      <c r="F126" s="2611"/>
      <c r="G126" s="2611"/>
      <c r="H126" s="2611"/>
      <c r="I126" s="860"/>
      <c r="J126" s="2611">
        <v>3387</v>
      </c>
      <c r="K126" s="2611"/>
      <c r="L126" s="2611"/>
      <c r="M126" s="2611"/>
      <c r="N126" s="860"/>
      <c r="O126" s="2611">
        <v>4074</v>
      </c>
      <c r="P126" s="2611"/>
      <c r="Q126" s="2611"/>
      <c r="R126" s="2611"/>
      <c r="S126" s="860"/>
      <c r="T126" s="2611">
        <v>5160</v>
      </c>
      <c r="U126" s="2611"/>
      <c r="V126" s="2611"/>
      <c r="W126" s="2611"/>
      <c r="X126" s="860"/>
      <c r="Y126" s="2611"/>
      <c r="Z126" s="2611"/>
      <c r="AA126" s="2611"/>
      <c r="AB126" s="2611"/>
      <c r="AC126" s="860"/>
      <c r="AD126" s="2611"/>
      <c r="AE126" s="2611"/>
      <c r="AF126" s="2611"/>
      <c r="AG126" s="261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4">
        <f>Application!DX678</f>
        <v>0</v>
      </c>
      <c r="F129" s="2618"/>
      <c r="G129" s="2618"/>
      <c r="H129" s="2618"/>
      <c r="I129" s="860"/>
      <c r="J129" s="2618">
        <f>Application!EC678</f>
        <v>1371.9344262295081</v>
      </c>
      <c r="K129" s="2618"/>
      <c r="L129" s="2618"/>
      <c r="M129" s="2618"/>
      <c r="N129" s="860"/>
      <c r="O129" s="2618">
        <f>Application!EH678</f>
        <v>2089.0458333333331</v>
      </c>
      <c r="P129" s="2618"/>
      <c r="Q129" s="2618"/>
      <c r="R129" s="2618"/>
      <c r="S129" s="864"/>
      <c r="T129" s="2618">
        <f>Application!EM678</f>
        <v>2536.1</v>
      </c>
      <c r="U129" s="2618"/>
      <c r="V129" s="2618"/>
      <c r="W129" s="2618"/>
      <c r="X129" s="864"/>
      <c r="Y129" s="2618">
        <f>Application!ER678</f>
        <v>0</v>
      </c>
      <c r="Z129" s="2618"/>
      <c r="AA129" s="2618"/>
      <c r="AB129" s="2618"/>
      <c r="AC129" s="864"/>
      <c r="AD129" s="2618">
        <f>Application!EW678</f>
        <v>0</v>
      </c>
      <c r="AE129" s="2618"/>
      <c r="AF129" s="2618"/>
      <c r="AG129" s="261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6" t="e">
        <f>(E126-E129)/E126</f>
        <v>#DIV/0!</v>
      </c>
      <c r="F132" s="2427"/>
      <c r="G132" s="2427"/>
      <c r="H132" s="2428"/>
      <c r="I132" s="575"/>
      <c r="J132" s="2426">
        <f>(J126-J129)/J126</f>
        <v>0.5949411200975766</v>
      </c>
      <c r="K132" s="2427"/>
      <c r="L132" s="2427"/>
      <c r="M132" s="2428"/>
      <c r="N132" s="575"/>
      <c r="O132" s="2426">
        <f>(O126-O129)/O126</f>
        <v>0.48722488136147935</v>
      </c>
      <c r="P132" s="2427"/>
      <c r="Q132" s="2427"/>
      <c r="R132" s="2428"/>
      <c r="S132" s="575"/>
      <c r="T132" s="2426">
        <f>(T126-T129)/T126</f>
        <v>0.50850775193798448</v>
      </c>
      <c r="U132" s="2427"/>
      <c r="V132" s="2427"/>
      <c r="W132" s="2428"/>
      <c r="X132" s="575"/>
      <c r="Y132" s="2426" t="e">
        <f>(Y126-Y129)/Y126</f>
        <v>#DIV/0!</v>
      </c>
      <c r="Z132" s="2427"/>
      <c r="AA132" s="2427"/>
      <c r="AB132" s="2428"/>
      <c r="AC132" s="575"/>
      <c r="AD132" s="2426" t="e">
        <f>(AD126-AD129)/AD126</f>
        <v>#DIV/0!</v>
      </c>
      <c r="AE132" s="2427"/>
      <c r="AF132" s="2427"/>
      <c r="AG132" s="242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5" t="e">
        <f>IF(((E132-0.1)*AW115)&gt;0,((E132-0.1)*AW115),0)</f>
        <v>#DIV/0!</v>
      </c>
      <c r="F135" s="2616"/>
      <c r="G135" s="2616"/>
      <c r="H135" s="2617"/>
      <c r="I135" s="575"/>
      <c r="J135" s="2615">
        <f>IF(((J132-0.1)*AW116)&gt;0,((J132-0.1)*AW116),0)</f>
        <v>0.19732946618269395</v>
      </c>
      <c r="K135" s="2616"/>
      <c r="L135" s="2616"/>
      <c r="M135" s="2617"/>
      <c r="N135" s="575"/>
      <c r="O135" s="2615">
        <f>IF(((O132-0.1)*AW117)&gt;0,((O132-0.1)*AW117),0)</f>
        <v>0.12148231572124843</v>
      </c>
      <c r="P135" s="2616"/>
      <c r="Q135" s="2616"/>
      <c r="R135" s="2617"/>
      <c r="S135" s="575"/>
      <c r="T135" s="2615">
        <f>IF(((T132-0.1)*AW118)&gt;0,((T132-0.1)*AW118),0)</f>
        <v>0.11747935349850534</v>
      </c>
      <c r="U135" s="2616"/>
      <c r="V135" s="2616"/>
      <c r="W135" s="2617"/>
      <c r="X135" s="575"/>
      <c r="Y135" s="2615" t="e">
        <f>IF(((Y132-0.1)*AW119)&gt;0,((Y132-0.1)*AW119),0)</f>
        <v>#DIV/0!</v>
      </c>
      <c r="Z135" s="2616"/>
      <c r="AA135" s="2616"/>
      <c r="AB135" s="2617"/>
      <c r="AC135" s="575"/>
      <c r="AD135" s="2615" t="e">
        <f>IF(((AD132-0.1)*AW120)&gt;0,((AD132-0.1)*AW120),0)</f>
        <v>#DIV/0!</v>
      </c>
      <c r="AE135" s="2616"/>
      <c r="AF135" s="2616"/>
      <c r="AG135" s="261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6">
        <f>ROUNDDOWN(SUMIF(E135:AG135,"&gt;0"),2)</f>
        <v>0.43</v>
      </c>
      <c r="F137" s="2427"/>
      <c r="G137" s="2427"/>
      <c r="H137" s="2428"/>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7">
        <f>IF((E137*100)&gt;10,10,E137*100)</f>
        <v>10</v>
      </c>
      <c r="F138" s="2588"/>
      <c r="G138" s="2588"/>
      <c r="H138" s="2589"/>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7">
        <f>E138</f>
        <v>10</v>
      </c>
      <c r="AL142" s="2588"/>
      <c r="AM142" s="258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3" t="s">
        <v>1306</v>
      </c>
      <c r="AF145" s="2453"/>
      <c r="AG145" s="2453"/>
      <c r="AH145" s="2453"/>
      <c r="AI145" s="2453"/>
      <c r="AJ145" s="2453"/>
      <c r="AK145" s="2453"/>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4" t="s">
        <v>1330</v>
      </c>
      <c r="AG147" s="2394"/>
      <c r="AH147" s="2394"/>
      <c r="AI147" s="2394"/>
      <c r="AJ147" s="2394"/>
      <c r="AK147" s="2394"/>
      <c r="AL147" s="2394"/>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1" t="s">
        <v>2659</v>
      </c>
      <c r="C149" s="2591"/>
      <c r="D149" s="2591"/>
      <c r="E149" s="2591"/>
      <c r="F149" s="2591"/>
      <c r="G149" s="2591"/>
      <c r="H149" s="2591"/>
      <c r="I149" s="2591"/>
      <c r="J149" s="2591"/>
      <c r="K149" s="2591"/>
      <c r="L149" s="2591"/>
      <c r="M149" s="2591"/>
      <c r="N149" s="2591"/>
      <c r="O149" s="2591"/>
      <c r="P149" s="2591"/>
      <c r="Q149" s="2591"/>
      <c r="R149" s="2591"/>
      <c r="S149" s="2591"/>
      <c r="T149" s="2591"/>
      <c r="U149" s="2591"/>
      <c r="V149" s="2591"/>
      <c r="W149" s="2591"/>
      <c r="X149" s="2591"/>
      <c r="Y149" s="2591"/>
      <c r="Z149" s="2591"/>
      <c r="AA149" s="2591"/>
      <c r="AB149" s="2591"/>
      <c r="AC149" s="259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92" t="s">
        <v>1333</v>
      </c>
      <c r="C152" s="2592"/>
      <c r="D152" s="2592"/>
      <c r="E152" s="2592"/>
      <c r="F152" s="2592"/>
      <c r="G152" s="2592"/>
      <c r="H152" s="2592"/>
      <c r="I152" s="2592"/>
      <c r="J152" s="2592"/>
      <c r="K152" s="2592"/>
      <c r="L152" s="2592"/>
      <c r="M152" s="2592"/>
      <c r="N152" s="2592"/>
      <c r="O152" s="2592"/>
      <c r="P152" s="2592"/>
      <c r="Q152" s="2592"/>
      <c r="R152" s="2592"/>
      <c r="S152" s="2592"/>
      <c r="T152" s="2592"/>
      <c r="U152" s="2592"/>
      <c r="V152" s="2592"/>
      <c r="W152" s="2592"/>
      <c r="X152" s="2592"/>
      <c r="Y152" s="2592"/>
      <c r="Z152" s="2592"/>
      <c r="AA152" s="2592"/>
      <c r="AB152" s="2592"/>
      <c r="AC152" s="2592"/>
      <c r="AD152" s="2592"/>
      <c r="AE152" s="2592"/>
      <c r="AF152" s="2592"/>
      <c r="AG152" s="2592"/>
      <c r="AH152" s="2592"/>
      <c r="AI152" s="2592"/>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01" t="s">
        <v>590</v>
      </c>
      <c r="AC154" s="240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92" t="s">
        <v>1335</v>
      </c>
      <c r="C157" s="2592"/>
      <c r="D157" s="2592"/>
      <c r="E157" s="2592"/>
      <c r="F157" s="2592"/>
      <c r="G157" s="2592"/>
      <c r="H157" s="2592"/>
      <c r="I157" s="2592"/>
      <c r="J157" s="2592"/>
      <c r="K157" s="2592"/>
      <c r="L157" s="2592"/>
      <c r="M157" s="2592"/>
      <c r="N157" s="2592"/>
      <c r="O157" s="2592"/>
      <c r="P157" s="2592"/>
      <c r="Q157" s="2592"/>
      <c r="R157" s="2592"/>
      <c r="S157" s="2592"/>
      <c r="T157" s="2592"/>
      <c r="U157" s="2592"/>
      <c r="V157" s="2592"/>
      <c r="W157" s="2592"/>
      <c r="X157" s="2592"/>
      <c r="Y157" s="2592"/>
      <c r="Z157" s="2592"/>
      <c r="AA157" s="2592"/>
      <c r="AB157" s="2592"/>
      <c r="AC157" s="2592"/>
      <c r="AD157" s="2592"/>
      <c r="AE157" s="2592"/>
      <c r="AF157" s="2592"/>
      <c r="AG157" s="2592"/>
      <c r="AH157" s="2592"/>
      <c r="AI157" s="2592"/>
      <c r="AJ157" s="2592"/>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8" t="s">
        <v>2403</v>
      </c>
      <c r="C160" s="2398"/>
      <c r="D160" s="2398"/>
      <c r="E160" s="2398"/>
      <c r="F160" s="2398"/>
      <c r="G160" s="2398"/>
      <c r="H160" s="2398"/>
      <c r="I160" s="2398"/>
      <c r="J160" s="2398"/>
      <c r="K160" s="2398"/>
      <c r="L160" s="2398"/>
      <c r="M160" s="2398"/>
      <c r="N160" s="2398"/>
      <c r="O160" s="2398"/>
      <c r="P160" s="2398"/>
      <c r="Q160" s="2398"/>
      <c r="R160" s="2398"/>
      <c r="S160" s="2398"/>
      <c r="T160" s="2398"/>
      <c r="U160" s="2398"/>
      <c r="V160" s="2398"/>
      <c r="W160" s="2398"/>
      <c r="X160" s="2398"/>
      <c r="Y160" s="2398"/>
      <c r="Z160" s="2398"/>
      <c r="AA160" s="2398"/>
      <c r="AB160" s="2398"/>
      <c r="AC160" s="2398"/>
      <c r="AD160" s="2398"/>
      <c r="AE160" s="2398"/>
      <c r="AF160" s="2398"/>
      <c r="AG160" s="2398"/>
      <c r="AH160" s="2398"/>
      <c r="AI160" s="2398"/>
      <c r="AJ160" s="2398"/>
      <c r="AK160" s="1173"/>
      <c r="AM160" s="539"/>
      <c r="AN160" s="535"/>
      <c r="AO160" s="476"/>
      <c r="AP160" s="489"/>
    </row>
    <row r="161" spans="1:42" s="536" customFormat="1" ht="12.75" customHeight="1">
      <c r="B161" s="2398"/>
      <c r="C161" s="2398"/>
      <c r="D161" s="2398"/>
      <c r="E161" s="2398"/>
      <c r="F161" s="2398"/>
      <c r="G161" s="2398"/>
      <c r="H161" s="2398"/>
      <c r="I161" s="2398"/>
      <c r="J161" s="2398"/>
      <c r="K161" s="2398"/>
      <c r="L161" s="2398"/>
      <c r="M161" s="2398"/>
      <c r="N161" s="2398"/>
      <c r="O161" s="2398"/>
      <c r="P161" s="2398"/>
      <c r="Q161" s="2398"/>
      <c r="R161" s="2398"/>
      <c r="S161" s="2398"/>
      <c r="T161" s="2398"/>
      <c r="U161" s="2398"/>
      <c r="V161" s="2398"/>
      <c r="W161" s="2398"/>
      <c r="X161" s="2398"/>
      <c r="Y161" s="2398"/>
      <c r="Z161" s="2398"/>
      <c r="AA161" s="2398"/>
      <c r="AB161" s="2398"/>
      <c r="AC161" s="2398"/>
      <c r="AD161" s="2398"/>
      <c r="AE161" s="2398"/>
      <c r="AF161" s="2398"/>
      <c r="AG161" s="2398"/>
      <c r="AH161" s="2398"/>
      <c r="AI161" s="2398"/>
      <c r="AJ161" s="2398"/>
      <c r="AK161" s="1173"/>
      <c r="AM161" s="539"/>
      <c r="AN161" s="535"/>
      <c r="AO161" s="476"/>
      <c r="AP161" s="489"/>
    </row>
    <row r="162" spans="1:42" s="536" customFormat="1" ht="12.75" customHeight="1">
      <c r="C162" s="2399" t="s">
        <v>2404</v>
      </c>
      <c r="D162" s="2399"/>
      <c r="E162" s="2399"/>
      <c r="F162" s="2399"/>
      <c r="G162" s="2399"/>
      <c r="H162" s="2399"/>
      <c r="I162" s="2399"/>
      <c r="J162" s="2399"/>
      <c r="K162" s="2399"/>
      <c r="L162" s="2399"/>
      <c r="M162" s="2399"/>
      <c r="N162" s="2399"/>
      <c r="O162" s="2399"/>
      <c r="P162" s="2399"/>
      <c r="Q162" s="2399"/>
      <c r="R162" s="2399"/>
      <c r="S162" s="2399"/>
      <c r="T162" s="2399"/>
      <c r="U162" s="2399"/>
      <c r="V162" s="2399"/>
      <c r="W162" s="2399"/>
      <c r="X162" s="2399"/>
      <c r="Y162" s="2399"/>
      <c r="Z162" s="2399"/>
      <c r="AA162" s="2399"/>
      <c r="AB162" s="2399"/>
      <c r="AC162" s="2399"/>
      <c r="AD162" s="2399"/>
      <c r="AE162" s="2399"/>
      <c r="AF162" s="2399"/>
      <c r="AG162" s="2399"/>
      <c r="AH162" s="2399"/>
      <c r="AI162" s="2399"/>
      <c r="AJ162" s="2399"/>
      <c r="AK162" s="1173"/>
      <c r="AM162" s="539"/>
      <c r="AN162" s="535"/>
      <c r="AO162" s="476"/>
      <c r="AP162" s="489"/>
    </row>
    <row r="163" spans="1:42" s="536" customFormat="1" ht="12.75" customHeight="1">
      <c r="B163" s="1173"/>
      <c r="C163" s="2400" t="s">
        <v>2402</v>
      </c>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1163"/>
      <c r="AB163" s="1163"/>
      <c r="AC163" s="1163"/>
      <c r="AD163" s="1163"/>
      <c r="AE163" s="1163"/>
      <c r="AF163" s="1163"/>
      <c r="AG163" s="1163"/>
      <c r="AH163" s="1163"/>
      <c r="AJ163" s="2401" t="s">
        <v>590</v>
      </c>
      <c r="AK163" s="240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3">
        <f>IF($AB$154="N/A",VLOOKUP($B$152,$AO$150:$AP$153,2,FALSE),VLOOKUP($B$157,$AO$155:$AP$157,2,FALSE))</f>
        <v>7</v>
      </c>
      <c r="AK165" s="249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4" t="s">
        <v>1344</v>
      </c>
      <c r="AG167" s="2394"/>
      <c r="AH167" s="2394"/>
      <c r="AI167" s="2394"/>
      <c r="AJ167" s="2394"/>
      <c r="AK167" s="2394"/>
      <c r="AL167" s="2394"/>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2" t="s">
        <v>1342</v>
      </c>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1" t="s">
        <v>590</v>
      </c>
      <c r="AG171" s="2401"/>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92" t="s">
        <v>1335</v>
      </c>
      <c r="D173" s="2592"/>
      <c r="E173" s="2592"/>
      <c r="F173" s="2592"/>
      <c r="G173" s="2592"/>
      <c r="H173" s="2592"/>
      <c r="I173" s="2592"/>
      <c r="J173" s="2592"/>
      <c r="K173" s="2592"/>
      <c r="L173" s="2592"/>
      <c r="M173" s="2592"/>
      <c r="N173" s="2592"/>
      <c r="O173" s="2592"/>
      <c r="P173" s="2592"/>
      <c r="Q173" s="2592"/>
      <c r="R173" s="2592"/>
      <c r="S173" s="2592"/>
      <c r="T173" s="2592"/>
      <c r="U173" s="2592"/>
      <c r="V173" s="2592"/>
      <c r="W173" s="2592"/>
      <c r="X173" s="2592"/>
      <c r="Y173" s="2592"/>
      <c r="Z173" s="2592"/>
      <c r="AA173" s="2592"/>
      <c r="AB173" s="2592"/>
      <c r="AC173" s="2592"/>
      <c r="AD173" s="2592"/>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3" t="str">
        <f>Application!AA344</f>
        <v xml:space="preserve">WSH Management, Inc. </v>
      </c>
      <c r="D177" s="2593"/>
      <c r="E177" s="2593"/>
      <c r="F177" s="2593"/>
      <c r="G177" s="2593"/>
      <c r="H177" s="2593"/>
      <c r="I177" s="2593"/>
      <c r="J177" s="2593"/>
      <c r="K177" s="2593"/>
      <c r="L177" s="2593"/>
      <c r="M177" s="2593"/>
      <c r="N177" s="2593"/>
      <c r="O177" s="2593"/>
      <c r="P177" s="2593"/>
      <c r="Q177" s="2593"/>
      <c r="R177" s="2593"/>
      <c r="S177" s="2593"/>
      <c r="T177" s="2593"/>
      <c r="U177" s="2593"/>
      <c r="V177" s="2593"/>
      <c r="W177" s="2593"/>
      <c r="X177" s="2593"/>
      <c r="Y177" s="2593"/>
      <c r="Z177" s="2593"/>
      <c r="AA177" s="2593"/>
      <c r="AB177" s="2593"/>
      <c r="AC177" s="2593"/>
      <c r="AD177" s="2593"/>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92">
        <f>IF($AF$171="N/A",VLOOKUP($C$169,$AO$169:$AP$172,2,FALSE),VLOOKUP($C$173,$AO$176:$AP$178,2,FALSE))</f>
        <v>3</v>
      </c>
      <c r="AK179" s="249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7">
        <f>$AJ$165+$AJ$179</f>
        <v>10</v>
      </c>
      <c r="AL182" s="2588"/>
      <c r="AM182" s="258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3" t="s">
        <v>1306</v>
      </c>
      <c r="AF185" s="2453"/>
      <c r="AG185" s="2453"/>
      <c r="AH185" s="2453"/>
      <c r="AI185" s="2453"/>
      <c r="AJ185" s="2453"/>
      <c r="AK185" s="2453"/>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90" t="s">
        <v>1039</v>
      </c>
      <c r="C187" s="2590"/>
      <c r="D187" s="2590"/>
      <c r="E187" s="2590"/>
      <c r="F187" s="2590"/>
      <c r="G187" s="2590"/>
      <c r="H187" s="2590"/>
      <c r="I187" s="2590"/>
      <c r="J187" s="2590"/>
      <c r="K187" s="2590"/>
      <c r="L187" s="2590"/>
      <c r="M187" s="2590"/>
      <c r="N187" s="2590"/>
      <c r="O187" s="2590"/>
      <c r="P187" s="2590"/>
      <c r="Q187" s="2590"/>
      <c r="R187" s="2590"/>
      <c r="S187" s="2590"/>
      <c r="T187" s="2590"/>
      <c r="U187" s="2590"/>
      <c r="V187" s="2590"/>
      <c r="W187" s="2590"/>
      <c r="X187" s="2590"/>
      <c r="Y187" s="2590"/>
      <c r="Z187" s="2590"/>
      <c r="AA187" s="2590"/>
      <c r="AB187" s="2590"/>
      <c r="AC187" s="2590"/>
      <c r="AD187" s="536"/>
      <c r="AE187" s="536"/>
      <c r="AF187" s="2394" t="s">
        <v>1355</v>
      </c>
      <c r="AG187" s="2394"/>
      <c r="AH187" s="2394"/>
      <c r="AI187" s="2394"/>
      <c r="AJ187" s="2394"/>
      <c r="AK187" s="2394"/>
      <c r="AL187" s="2394"/>
      <c r="AN187" s="595"/>
      <c r="AP187" s="549" t="s">
        <v>1041</v>
      </c>
      <c r="AQ187" s="549">
        <v>10</v>
      </c>
    </row>
    <row r="188" spans="1:73" s="549" customFormat="1" ht="12.75" customHeight="1">
      <c r="A188" s="536"/>
      <c r="B188" s="2400" t="s">
        <v>1713</v>
      </c>
      <c r="C188" s="2400"/>
      <c r="D188" s="2400"/>
      <c r="E188" s="2400"/>
      <c r="F188" s="2400"/>
      <c r="G188" s="2400"/>
      <c r="H188" s="2400"/>
      <c r="I188" s="2400"/>
      <c r="J188" s="2400"/>
      <c r="K188" s="2400"/>
      <c r="L188" s="2400"/>
      <c r="M188" s="2400"/>
      <c r="N188" s="2400"/>
      <c r="O188" s="2400"/>
      <c r="P188" s="2400"/>
      <c r="Q188" s="2400"/>
      <c r="R188" s="2400"/>
      <c r="S188" s="2400"/>
      <c r="T188" s="2591" t="s">
        <v>590</v>
      </c>
      <c r="U188" s="2591"/>
      <c r="V188" s="2591"/>
      <c r="W188" s="2591"/>
      <c r="X188" s="2591"/>
      <c r="Y188" s="2591"/>
      <c r="Z188" s="2591"/>
      <c r="AA188" s="2591"/>
      <c r="AB188" s="2591"/>
      <c r="AC188" s="2591"/>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6">
        <f>IF(AK83&gt;0,VLOOKUP($B$187,AP184:AQ190,2,FALSE),0)</f>
        <v>10</v>
      </c>
      <c r="AL190" s="2442"/>
      <c r="AM190" s="2397"/>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3" t="s">
        <v>1363</v>
      </c>
      <c r="AF193" s="2453"/>
      <c r="AG193" s="2453"/>
      <c r="AH193" s="2453"/>
      <c r="AI193" s="2453"/>
      <c r="AJ193" s="2453"/>
      <c r="AK193" s="245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1"/>
      <c r="C198" s="2561"/>
      <c r="D198" s="2561"/>
      <c r="E198" s="2561"/>
      <c r="F198" s="2561"/>
      <c r="G198" s="2561"/>
      <c r="H198" s="2561"/>
      <c r="I198" s="2561"/>
      <c r="J198" s="2561"/>
      <c r="K198" s="2561"/>
      <c r="L198" s="2561"/>
      <c r="M198" s="2561"/>
      <c r="N198" s="2561"/>
      <c r="O198" s="2561"/>
      <c r="P198" s="2561"/>
      <c r="Q198" s="2561"/>
      <c r="R198" s="2561"/>
      <c r="S198" s="2561"/>
      <c r="T198" s="2561"/>
      <c r="U198" s="2561"/>
      <c r="V198" s="2561"/>
      <c r="W198" s="2561"/>
      <c r="X198" s="2561"/>
      <c r="Y198" s="2561"/>
      <c r="Z198" s="2561"/>
      <c r="AA198" s="2561"/>
      <c r="AB198" s="2561"/>
      <c r="AC198" s="842"/>
      <c r="AD198" s="2577"/>
      <c r="AE198" s="2577"/>
      <c r="AF198" s="2577"/>
      <c r="AG198" s="2577"/>
      <c r="AH198" s="2577"/>
      <c r="AI198" s="2577"/>
      <c r="AJ198" s="2577"/>
      <c r="AK198" s="608"/>
    </row>
    <row r="199" spans="1:37" hidden="1">
      <c r="A199" s="603"/>
      <c r="B199" s="2561"/>
      <c r="C199" s="2561"/>
      <c r="D199" s="2561"/>
      <c r="E199" s="2561"/>
      <c r="F199" s="2561"/>
      <c r="G199" s="2561"/>
      <c r="H199" s="2561"/>
      <c r="I199" s="2561"/>
      <c r="J199" s="2561"/>
      <c r="K199" s="2561"/>
      <c r="L199" s="2561"/>
      <c r="M199" s="2561"/>
      <c r="N199" s="2561"/>
      <c r="O199" s="2561"/>
      <c r="P199" s="2561"/>
      <c r="Q199" s="2561"/>
      <c r="R199" s="2561"/>
      <c r="S199" s="2561"/>
      <c r="T199" s="2561"/>
      <c r="U199" s="2561"/>
      <c r="V199" s="2561"/>
      <c r="W199" s="2561"/>
      <c r="X199" s="2561"/>
      <c r="Y199" s="2561"/>
      <c r="Z199" s="2561"/>
      <c r="AA199" s="2561"/>
      <c r="AB199" s="2561"/>
      <c r="AC199" s="842"/>
      <c r="AD199" s="2577"/>
      <c r="AE199" s="2577"/>
      <c r="AF199" s="2577"/>
      <c r="AG199" s="2577"/>
      <c r="AH199" s="2577"/>
      <c r="AI199" s="2577"/>
      <c r="AJ199" s="2577"/>
      <c r="AK199" s="608"/>
    </row>
    <row r="200" spans="1:37" hidden="1">
      <c r="A200" s="603"/>
      <c r="B200" s="2561"/>
      <c r="C200" s="2561"/>
      <c r="D200" s="2561"/>
      <c r="E200" s="2561"/>
      <c r="F200" s="2561"/>
      <c r="G200" s="2561"/>
      <c r="H200" s="2561"/>
      <c r="I200" s="2561"/>
      <c r="J200" s="2561"/>
      <c r="K200" s="2561"/>
      <c r="L200" s="2561"/>
      <c r="M200" s="2561"/>
      <c r="N200" s="2561"/>
      <c r="O200" s="2561"/>
      <c r="P200" s="2561"/>
      <c r="Q200" s="2561"/>
      <c r="R200" s="2561"/>
      <c r="S200" s="2561"/>
      <c r="T200" s="2561"/>
      <c r="U200" s="2561"/>
      <c r="V200" s="2561"/>
      <c r="W200" s="2561"/>
      <c r="X200" s="2561"/>
      <c r="Y200" s="2561"/>
      <c r="Z200" s="2561"/>
      <c r="AA200" s="2561"/>
      <c r="AB200" s="2561"/>
      <c r="AC200" s="842"/>
      <c r="AD200" s="2577"/>
      <c r="AE200" s="2577"/>
      <c r="AF200" s="2577"/>
      <c r="AG200" s="2577"/>
      <c r="AH200" s="2577"/>
      <c r="AI200" s="2577"/>
      <c r="AJ200" s="2577"/>
      <c r="AK200" s="608"/>
    </row>
    <row r="201" spans="1:37" hidden="1">
      <c r="A201" s="603"/>
      <c r="B201" s="2561"/>
      <c r="C201" s="2561"/>
      <c r="D201" s="2561"/>
      <c r="E201" s="2561"/>
      <c r="F201" s="2561"/>
      <c r="G201" s="2561"/>
      <c r="H201" s="2561"/>
      <c r="I201" s="2561"/>
      <c r="J201" s="2561"/>
      <c r="K201" s="2561"/>
      <c r="L201" s="2561"/>
      <c r="M201" s="2561"/>
      <c r="N201" s="2561"/>
      <c r="O201" s="2561"/>
      <c r="P201" s="2561"/>
      <c r="Q201" s="2561"/>
      <c r="R201" s="2561"/>
      <c r="S201" s="2561"/>
      <c r="T201" s="2561"/>
      <c r="U201" s="2561"/>
      <c r="V201" s="2561"/>
      <c r="W201" s="2561"/>
      <c r="X201" s="2561"/>
      <c r="Y201" s="2561"/>
      <c r="Z201" s="2561"/>
      <c r="AA201" s="2561"/>
      <c r="AB201" s="2561"/>
      <c r="AC201" s="842"/>
      <c r="AD201" s="2577"/>
      <c r="AE201" s="2577"/>
      <c r="AF201" s="2577"/>
      <c r="AG201" s="2577"/>
      <c r="AH201" s="2577"/>
      <c r="AI201" s="2577"/>
      <c r="AJ201" s="2577"/>
      <c r="AK201" s="608"/>
    </row>
    <row r="202" spans="1:37" hidden="1">
      <c r="A202" s="603"/>
      <c r="B202" s="2561"/>
      <c r="C202" s="2561"/>
      <c r="D202" s="2561"/>
      <c r="E202" s="2561"/>
      <c r="F202" s="2561"/>
      <c r="G202" s="2561"/>
      <c r="H202" s="2561"/>
      <c r="I202" s="2561"/>
      <c r="J202" s="2561"/>
      <c r="K202" s="2561"/>
      <c r="L202" s="2561"/>
      <c r="M202" s="2561"/>
      <c r="N202" s="2561"/>
      <c r="O202" s="2561"/>
      <c r="P202" s="2561"/>
      <c r="Q202" s="2561"/>
      <c r="R202" s="2561"/>
      <c r="S202" s="2561"/>
      <c r="T202" s="2561"/>
      <c r="U202" s="2561"/>
      <c r="V202" s="2561"/>
      <c r="W202" s="2561"/>
      <c r="X202" s="2561"/>
      <c r="Y202" s="2561"/>
      <c r="Z202" s="2561"/>
      <c r="AA202" s="2561"/>
      <c r="AB202" s="2561"/>
      <c r="AC202" s="842"/>
      <c r="AD202" s="2577"/>
      <c r="AE202" s="2577"/>
      <c r="AF202" s="2577"/>
      <c r="AG202" s="2577"/>
      <c r="AH202" s="2577"/>
      <c r="AI202" s="2577"/>
      <c r="AJ202" s="2577"/>
      <c r="AK202" s="608"/>
    </row>
    <row r="203" spans="1:37" hidden="1">
      <c r="A203" s="603"/>
      <c r="B203" s="2561"/>
      <c r="C203" s="2561"/>
      <c r="D203" s="2561"/>
      <c r="E203" s="2561"/>
      <c r="F203" s="2561"/>
      <c r="G203" s="2561"/>
      <c r="H203" s="2561"/>
      <c r="I203" s="2561"/>
      <c r="J203" s="2561"/>
      <c r="K203" s="2561"/>
      <c r="L203" s="2561"/>
      <c r="M203" s="2561"/>
      <c r="N203" s="2561"/>
      <c r="O203" s="2561"/>
      <c r="P203" s="2561"/>
      <c r="Q203" s="2561"/>
      <c r="R203" s="2561"/>
      <c r="S203" s="2561"/>
      <c r="T203" s="2561"/>
      <c r="U203" s="2561"/>
      <c r="V203" s="2561"/>
      <c r="W203" s="2561"/>
      <c r="X203" s="2561"/>
      <c r="Y203" s="2561"/>
      <c r="Z203" s="2561"/>
      <c r="AA203" s="2561"/>
      <c r="AB203" s="2561"/>
      <c r="AC203" s="842"/>
      <c r="AD203" s="2577"/>
      <c r="AE203" s="2577"/>
      <c r="AF203" s="2577"/>
      <c r="AG203" s="2577"/>
      <c r="AH203" s="2577"/>
      <c r="AI203" s="2577"/>
      <c r="AJ203" s="2577"/>
      <c r="AK203" s="608"/>
    </row>
    <row r="204" spans="1:37" hidden="1">
      <c r="A204" s="603"/>
      <c r="B204" s="2561"/>
      <c r="C204" s="2561"/>
      <c r="D204" s="2561"/>
      <c r="E204" s="2561"/>
      <c r="F204" s="2561"/>
      <c r="G204" s="2561"/>
      <c r="H204" s="2561"/>
      <c r="I204" s="2561"/>
      <c r="J204" s="2561"/>
      <c r="K204" s="2561"/>
      <c r="L204" s="2561"/>
      <c r="M204" s="2561"/>
      <c r="N204" s="2561"/>
      <c r="O204" s="2561"/>
      <c r="P204" s="2561"/>
      <c r="Q204" s="2561"/>
      <c r="R204" s="2561"/>
      <c r="S204" s="2561"/>
      <c r="T204" s="2561"/>
      <c r="U204" s="2561"/>
      <c r="V204" s="2561"/>
      <c r="W204" s="2561"/>
      <c r="X204" s="2561"/>
      <c r="Y204" s="2561"/>
      <c r="Z204" s="2561"/>
      <c r="AA204" s="2561"/>
      <c r="AB204" s="2561"/>
      <c r="AC204" s="842"/>
      <c r="AD204" s="2577"/>
      <c r="AE204" s="2577"/>
      <c r="AF204" s="2577"/>
      <c r="AG204" s="2577"/>
      <c r="AH204" s="2577"/>
      <c r="AI204" s="2577"/>
      <c r="AJ204" s="2577"/>
      <c r="AK204" s="608"/>
    </row>
    <row r="205" spans="1:37" hidden="1">
      <c r="A205" s="603"/>
      <c r="B205" s="2561"/>
      <c r="C205" s="2561"/>
      <c r="D205" s="2561"/>
      <c r="E205" s="2561"/>
      <c r="F205" s="2561"/>
      <c r="G205" s="2561"/>
      <c r="H205" s="2561"/>
      <c r="I205" s="2561"/>
      <c r="J205" s="2561"/>
      <c r="K205" s="2561"/>
      <c r="L205" s="2561"/>
      <c r="M205" s="2561"/>
      <c r="N205" s="2561"/>
      <c r="O205" s="2561"/>
      <c r="P205" s="2561"/>
      <c r="Q205" s="2561"/>
      <c r="R205" s="2561"/>
      <c r="S205" s="2561"/>
      <c r="T205" s="2561"/>
      <c r="U205" s="2561"/>
      <c r="V205" s="2561"/>
      <c r="W205" s="2561"/>
      <c r="X205" s="2561"/>
      <c r="Y205" s="2561"/>
      <c r="Z205" s="2561"/>
      <c r="AA205" s="2561"/>
      <c r="AB205" s="2561"/>
      <c r="AC205" s="842"/>
      <c r="AD205" s="2577"/>
      <c r="AE205" s="2577"/>
      <c r="AF205" s="2577"/>
      <c r="AG205" s="2577"/>
      <c r="AH205" s="2577"/>
      <c r="AI205" s="2577"/>
      <c r="AJ205" s="2577"/>
      <c r="AK205" s="608"/>
    </row>
    <row r="206" spans="1:37" hidden="1">
      <c r="A206" s="603"/>
      <c r="B206" s="2561"/>
      <c r="C206" s="2561"/>
      <c r="D206" s="2561"/>
      <c r="E206" s="2561"/>
      <c r="F206" s="2561"/>
      <c r="G206" s="2561"/>
      <c r="H206" s="2561"/>
      <c r="I206" s="2561"/>
      <c r="J206" s="2561"/>
      <c r="K206" s="2561"/>
      <c r="L206" s="2561"/>
      <c r="M206" s="2561"/>
      <c r="N206" s="2561"/>
      <c r="O206" s="2561"/>
      <c r="P206" s="2561"/>
      <c r="Q206" s="2561"/>
      <c r="R206" s="2561"/>
      <c r="S206" s="2561"/>
      <c r="T206" s="2561"/>
      <c r="U206" s="2561"/>
      <c r="V206" s="2561"/>
      <c r="W206" s="2561"/>
      <c r="X206" s="2561"/>
      <c r="Y206" s="2561"/>
      <c r="Z206" s="2561"/>
      <c r="AA206" s="2561"/>
      <c r="AB206" s="2561"/>
      <c r="AC206" s="842"/>
      <c r="AD206" s="2577"/>
      <c r="AE206" s="2577"/>
      <c r="AF206" s="2577"/>
      <c r="AG206" s="2577"/>
      <c r="AH206" s="2577"/>
      <c r="AI206" s="2577"/>
      <c r="AJ206" s="2577"/>
      <c r="AK206" s="608"/>
    </row>
    <row r="207" spans="1:37" hidden="1">
      <c r="A207" s="603"/>
      <c r="B207" s="2561"/>
      <c r="C207" s="2561"/>
      <c r="D207" s="2561"/>
      <c r="E207" s="2561"/>
      <c r="F207" s="2561"/>
      <c r="G207" s="2561"/>
      <c r="H207" s="2561"/>
      <c r="I207" s="2561"/>
      <c r="J207" s="2561"/>
      <c r="K207" s="2561"/>
      <c r="L207" s="2561"/>
      <c r="M207" s="2561"/>
      <c r="N207" s="2561"/>
      <c r="O207" s="2561"/>
      <c r="P207" s="2561"/>
      <c r="Q207" s="2561"/>
      <c r="R207" s="2561"/>
      <c r="S207" s="2561"/>
      <c r="T207" s="2561"/>
      <c r="U207" s="2561"/>
      <c r="V207" s="2561"/>
      <c r="W207" s="2561"/>
      <c r="X207" s="2561"/>
      <c r="Y207" s="2561"/>
      <c r="Z207" s="2561"/>
      <c r="AA207" s="2561"/>
      <c r="AB207" s="2561"/>
      <c r="AC207" s="842"/>
      <c r="AD207" s="2577"/>
      <c r="AE207" s="2577"/>
      <c r="AF207" s="2577"/>
      <c r="AG207" s="2577"/>
      <c r="AH207" s="2577"/>
      <c r="AI207" s="2577"/>
      <c r="AJ207" s="2577"/>
      <c r="AK207" s="608"/>
    </row>
    <row r="208" spans="1:37" hidden="1">
      <c r="A208" s="603"/>
      <c r="B208" s="2570" t="s">
        <v>1614</v>
      </c>
      <c r="C208" s="2570"/>
      <c r="D208" s="2570"/>
      <c r="E208" s="2570"/>
      <c r="F208" s="2570"/>
      <c r="G208" s="2570"/>
      <c r="H208" s="2570"/>
      <c r="I208" s="2570"/>
      <c r="J208" s="2570"/>
      <c r="K208" s="2570"/>
      <c r="L208" s="2570"/>
      <c r="M208" s="2570"/>
      <c r="N208" s="2570"/>
      <c r="O208" s="2570"/>
      <c r="P208" s="2570"/>
      <c r="Q208" s="2570"/>
      <c r="R208" s="2570"/>
      <c r="S208" s="2570"/>
      <c r="T208" s="2570"/>
      <c r="U208" s="2570"/>
      <c r="V208" s="2570"/>
      <c r="W208" s="2570"/>
      <c r="X208" s="2570"/>
      <c r="Y208" s="2570"/>
      <c r="Z208" s="2570"/>
      <c r="AA208" s="2570"/>
      <c r="AB208" s="2570"/>
      <c r="AC208" s="536"/>
      <c r="AD208" s="2575">
        <f>AB259</f>
        <v>0</v>
      </c>
      <c r="AE208" s="2575"/>
      <c r="AF208" s="2575"/>
      <c r="AG208" s="2575"/>
      <c r="AH208" s="2575"/>
      <c r="AI208" s="2575"/>
      <c r="AJ208" s="2575"/>
      <c r="AK208" s="608"/>
    </row>
    <row r="209" spans="1:37" hidden="1">
      <c r="A209" s="603"/>
      <c r="B209" s="2416" t="s">
        <v>1577</v>
      </c>
      <c r="C209" s="2416"/>
      <c r="D209" s="2416"/>
      <c r="E209" s="2416"/>
      <c r="F209" s="2416"/>
      <c r="G209" s="2416"/>
      <c r="H209" s="2416"/>
      <c r="I209" s="2416"/>
      <c r="J209" s="2416"/>
      <c r="K209" s="2416"/>
      <c r="L209" s="2416"/>
      <c r="M209" s="2416"/>
      <c r="N209" s="2416"/>
      <c r="O209" s="2416"/>
      <c r="P209" s="2416"/>
      <c r="Q209" s="2416"/>
      <c r="R209" s="2416"/>
      <c r="S209" s="2416"/>
      <c r="T209" s="2416"/>
      <c r="U209" s="2416"/>
      <c r="V209" s="2416"/>
      <c r="W209" s="2416"/>
      <c r="X209" s="2416"/>
      <c r="Y209" s="2416"/>
      <c r="Z209" s="2416"/>
      <c r="AA209" s="2416"/>
      <c r="AB209" s="2416"/>
      <c r="AC209" s="842"/>
      <c r="AD209" s="2576">
        <f>'Sources and Uses Budget'!B15</f>
        <v>0</v>
      </c>
      <c r="AE209" s="2576"/>
      <c r="AF209" s="2576"/>
      <c r="AG209" s="2576"/>
      <c r="AH209" s="2576"/>
      <c r="AI209" s="2576"/>
      <c r="AJ209" s="2576"/>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81">
        <f>SUM(AD198:AJ208)-AD209</f>
        <v>0</v>
      </c>
      <c r="AE210" s="2581"/>
      <c r="AF210" s="2581"/>
      <c r="AG210" s="2581"/>
      <c r="AH210" s="2581"/>
      <c r="AI210" s="2581"/>
      <c r="AJ210" s="2581"/>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4" t="s">
        <v>1594</v>
      </c>
      <c r="J221" s="2604"/>
      <c r="K221" s="2604"/>
      <c r="L221" s="536"/>
      <c r="M221" s="536"/>
      <c r="N221" s="536"/>
      <c r="O221" s="536"/>
      <c r="P221" s="536"/>
      <c r="Q221" s="536"/>
      <c r="R221" s="536"/>
      <c r="S221" s="536"/>
      <c r="T221" s="2430" t="s">
        <v>1588</v>
      </c>
      <c r="U221" s="2430"/>
      <c r="V221" s="2430"/>
      <c r="W221" s="2430"/>
      <c r="X221" s="2430"/>
      <c r="Y221" s="2430"/>
      <c r="Z221" s="845"/>
      <c r="AA221" s="489"/>
      <c r="AB221" s="2594" t="s">
        <v>1589</v>
      </c>
      <c r="AC221" s="2594"/>
      <c r="AD221" s="2594"/>
      <c r="AE221" s="2594"/>
      <c r="AF221" s="2594"/>
      <c r="AG221" s="2594"/>
      <c r="AH221" s="823"/>
      <c r="AI221" s="823"/>
      <c r="AJ221" s="823"/>
      <c r="AK221" s="608"/>
    </row>
    <row r="222" spans="1:37" hidden="1">
      <c r="A222" s="603"/>
      <c r="B222" s="2602" t="s">
        <v>1574</v>
      </c>
      <c r="C222" s="2602"/>
      <c r="D222" s="2602"/>
      <c r="E222" s="2602"/>
      <c r="F222" s="2602"/>
      <c r="G222" s="2602"/>
      <c r="I222" s="2603" t="s">
        <v>1595</v>
      </c>
      <c r="J222" s="2603"/>
      <c r="K222" s="2603"/>
      <c r="L222" s="1003"/>
      <c r="N222" s="2417" t="s">
        <v>1590</v>
      </c>
      <c r="O222" s="2417"/>
      <c r="P222" s="2417"/>
      <c r="Q222" s="2417"/>
      <c r="R222" s="2417"/>
      <c r="T222" s="2417" t="s">
        <v>1591</v>
      </c>
      <c r="U222" s="2417"/>
      <c r="V222" s="2417"/>
      <c r="W222" s="2417"/>
      <c r="X222" s="2417"/>
      <c r="Y222" s="2417"/>
      <c r="Z222" s="846"/>
      <c r="AA222" s="489"/>
      <c r="AB222" s="2473" t="s">
        <v>1592</v>
      </c>
      <c r="AC222" s="2473"/>
      <c r="AD222" s="2473"/>
      <c r="AE222" s="2473"/>
      <c r="AF222" s="2473"/>
      <c r="AG222" s="2473"/>
      <c r="AH222" s="823"/>
      <c r="AI222" s="823"/>
      <c r="AJ222" s="823"/>
      <c r="AK222" s="608"/>
    </row>
    <row r="223" spans="1:37" hidden="1">
      <c r="A223" s="603"/>
      <c r="B223" s="2474" t="s">
        <v>1182</v>
      </c>
      <c r="C223" s="2474"/>
      <c r="D223" s="2474"/>
      <c r="E223" s="2474"/>
      <c r="F223" s="2474"/>
      <c r="G223" s="2474"/>
      <c r="H223" s="848"/>
      <c r="I223" s="2433"/>
      <c r="J223" s="2433"/>
      <c r="K223" s="2433"/>
      <c r="L223" s="1003"/>
      <c r="N223" s="2431"/>
      <c r="O223" s="2431"/>
      <c r="P223" s="2431"/>
      <c r="Q223" s="2431"/>
      <c r="R223" s="2431"/>
      <c r="T223" s="2413"/>
      <c r="U223" s="2413"/>
      <c r="V223" s="2413"/>
      <c r="W223" s="2413"/>
      <c r="X223" s="2413"/>
      <c r="Y223" s="2413"/>
      <c r="Z223" s="847"/>
      <c r="AA223" s="847"/>
      <c r="AB223" s="2411">
        <f t="shared" ref="AB223:AB232" si="0">MAX(($T223-$N223)*$I223*12,0)</f>
        <v>0</v>
      </c>
      <c r="AC223" s="2411"/>
      <c r="AD223" s="2411"/>
      <c r="AE223" s="2411"/>
      <c r="AF223" s="2411"/>
      <c r="AG223" s="2411"/>
      <c r="AH223" s="823"/>
      <c r="AI223" s="823"/>
      <c r="AJ223" s="823"/>
      <c r="AK223" s="608"/>
    </row>
    <row r="224" spans="1:37" hidden="1">
      <c r="A224" s="603"/>
      <c r="B224" s="2474" t="s">
        <v>1182</v>
      </c>
      <c r="C224" s="2474"/>
      <c r="D224" s="2474"/>
      <c r="E224" s="2474"/>
      <c r="F224" s="2474"/>
      <c r="G224" s="2474"/>
      <c r="I224" s="2433"/>
      <c r="J224" s="2433"/>
      <c r="K224" s="2433"/>
      <c r="L224" s="1003"/>
      <c r="N224" s="2431"/>
      <c r="O224" s="2431"/>
      <c r="P224" s="2431"/>
      <c r="Q224" s="2431"/>
      <c r="R224" s="2431"/>
      <c r="T224" s="2413"/>
      <c r="U224" s="2413"/>
      <c r="V224" s="2413"/>
      <c r="W224" s="2413"/>
      <c r="X224" s="2413"/>
      <c r="Y224" s="2413"/>
      <c r="Z224" s="847"/>
      <c r="AA224" s="847"/>
      <c r="AB224" s="2411">
        <f t="shared" si="0"/>
        <v>0</v>
      </c>
      <c r="AC224" s="2411"/>
      <c r="AD224" s="2411"/>
      <c r="AE224" s="2411"/>
      <c r="AF224" s="2411"/>
      <c r="AG224" s="2411"/>
      <c r="AH224" s="823"/>
      <c r="AI224" s="823"/>
      <c r="AJ224" s="823"/>
      <c r="AK224" s="608"/>
    </row>
    <row r="225" spans="1:37" hidden="1">
      <c r="A225" s="603"/>
      <c r="B225" s="2474" t="s">
        <v>1182</v>
      </c>
      <c r="C225" s="2474"/>
      <c r="D225" s="2474"/>
      <c r="E225" s="2474"/>
      <c r="F225" s="2474"/>
      <c r="G225" s="2474"/>
      <c r="I225" s="2433"/>
      <c r="J225" s="2433"/>
      <c r="K225" s="2433"/>
      <c r="L225" s="1003"/>
      <c r="N225" s="2431"/>
      <c r="O225" s="2431"/>
      <c r="P225" s="2431"/>
      <c r="Q225" s="2431"/>
      <c r="R225" s="2431"/>
      <c r="T225" s="2413"/>
      <c r="U225" s="2413"/>
      <c r="V225" s="2413"/>
      <c r="W225" s="2413"/>
      <c r="X225" s="2413"/>
      <c r="Y225" s="2413"/>
      <c r="Z225" s="847"/>
      <c r="AA225" s="847"/>
      <c r="AB225" s="2411">
        <f t="shared" si="0"/>
        <v>0</v>
      </c>
      <c r="AC225" s="2411"/>
      <c r="AD225" s="2411"/>
      <c r="AE225" s="2411"/>
      <c r="AF225" s="2411"/>
      <c r="AG225" s="2411"/>
      <c r="AH225" s="823"/>
      <c r="AI225" s="823"/>
      <c r="AJ225" s="823"/>
      <c r="AK225" s="608"/>
    </row>
    <row r="226" spans="1:37" hidden="1">
      <c r="A226" s="603"/>
      <c r="B226" s="2474" t="s">
        <v>1182</v>
      </c>
      <c r="C226" s="2474"/>
      <c r="D226" s="2474"/>
      <c r="E226" s="2474"/>
      <c r="F226" s="2474"/>
      <c r="G226" s="2474"/>
      <c r="I226" s="2433"/>
      <c r="J226" s="2433"/>
      <c r="K226" s="2433"/>
      <c r="L226" s="1003"/>
      <c r="N226" s="2431"/>
      <c r="O226" s="2431"/>
      <c r="P226" s="2431"/>
      <c r="Q226" s="2431"/>
      <c r="R226" s="2431"/>
      <c r="T226" s="2413"/>
      <c r="U226" s="2413"/>
      <c r="V226" s="2413"/>
      <c r="W226" s="2413"/>
      <c r="X226" s="2413"/>
      <c r="Y226" s="2413"/>
      <c r="Z226" s="847"/>
      <c r="AA226" s="847"/>
      <c r="AB226" s="2411">
        <f t="shared" si="0"/>
        <v>0</v>
      </c>
      <c r="AC226" s="2411"/>
      <c r="AD226" s="2411"/>
      <c r="AE226" s="2411"/>
      <c r="AF226" s="2411"/>
      <c r="AG226" s="2411"/>
      <c r="AH226" s="823"/>
      <c r="AI226" s="823"/>
      <c r="AJ226" s="823"/>
      <c r="AK226" s="608"/>
    </row>
    <row r="227" spans="1:37" hidden="1">
      <c r="A227" s="603"/>
      <c r="B227" s="2474" t="s">
        <v>1182</v>
      </c>
      <c r="C227" s="2474"/>
      <c r="D227" s="2474"/>
      <c r="E227" s="2474"/>
      <c r="F227" s="2474"/>
      <c r="G227" s="2474"/>
      <c r="I227" s="2433"/>
      <c r="J227" s="2433"/>
      <c r="K227" s="2433"/>
      <c r="L227" s="1010"/>
      <c r="N227" s="2431"/>
      <c r="O227" s="2431"/>
      <c r="P227" s="2431"/>
      <c r="Q227" s="2431"/>
      <c r="R227" s="2431"/>
      <c r="T227" s="2413"/>
      <c r="U227" s="2413"/>
      <c r="V227" s="2413"/>
      <c r="W227" s="2413"/>
      <c r="X227" s="2413"/>
      <c r="Y227" s="2413"/>
      <c r="Z227" s="847"/>
      <c r="AA227" s="847"/>
      <c r="AB227" s="2411">
        <f t="shared" si="0"/>
        <v>0</v>
      </c>
      <c r="AC227" s="2411"/>
      <c r="AD227" s="2411"/>
      <c r="AE227" s="2411"/>
      <c r="AF227" s="2411"/>
      <c r="AG227" s="2411"/>
      <c r="AH227" s="823"/>
      <c r="AI227" s="823"/>
      <c r="AJ227" s="823"/>
      <c r="AK227" s="608"/>
    </row>
    <row r="228" spans="1:37" hidden="1">
      <c r="A228" s="603"/>
      <c r="B228" s="2474" t="s">
        <v>1182</v>
      </c>
      <c r="C228" s="2474"/>
      <c r="D228" s="2474"/>
      <c r="E228" s="2474"/>
      <c r="F228" s="2474"/>
      <c r="G228" s="2474"/>
      <c r="I228" s="2433"/>
      <c r="J228" s="2433"/>
      <c r="K228" s="2433"/>
      <c r="L228" s="1010"/>
      <c r="N228" s="2431"/>
      <c r="O228" s="2431"/>
      <c r="P228" s="2431"/>
      <c r="Q228" s="2431"/>
      <c r="R228" s="2431"/>
      <c r="T228" s="2413"/>
      <c r="U228" s="2413"/>
      <c r="V228" s="2413"/>
      <c r="W228" s="2413"/>
      <c r="X228" s="2413"/>
      <c r="Y228" s="2413"/>
      <c r="Z228" s="847"/>
      <c r="AA228" s="847"/>
      <c r="AB228" s="2411">
        <f t="shared" si="0"/>
        <v>0</v>
      </c>
      <c r="AC228" s="2411"/>
      <c r="AD228" s="2411"/>
      <c r="AE228" s="2411"/>
      <c r="AF228" s="2411"/>
      <c r="AG228" s="2411"/>
      <c r="AH228" s="823"/>
      <c r="AI228" s="823"/>
      <c r="AJ228" s="823"/>
      <c r="AK228" s="608"/>
    </row>
    <row r="229" spans="1:37" hidden="1">
      <c r="A229" s="603"/>
      <c r="B229" s="2474" t="s">
        <v>1182</v>
      </c>
      <c r="C229" s="2474"/>
      <c r="D229" s="2474"/>
      <c r="E229" s="2474"/>
      <c r="F229" s="2474"/>
      <c r="G229" s="2474"/>
      <c r="I229" s="2433"/>
      <c r="J229" s="2433"/>
      <c r="K229" s="2433"/>
      <c r="L229" s="1010"/>
      <c r="N229" s="2431"/>
      <c r="O229" s="2431"/>
      <c r="P229" s="2431"/>
      <c r="Q229" s="2431"/>
      <c r="R229" s="2431"/>
      <c r="T229" s="2413"/>
      <c r="U229" s="2413"/>
      <c r="V229" s="2413"/>
      <c r="W229" s="2413"/>
      <c r="X229" s="2413"/>
      <c r="Y229" s="2413"/>
      <c r="Z229" s="847"/>
      <c r="AA229" s="847"/>
      <c r="AB229" s="2411">
        <f t="shared" si="0"/>
        <v>0</v>
      </c>
      <c r="AC229" s="2411"/>
      <c r="AD229" s="2411"/>
      <c r="AE229" s="2411"/>
      <c r="AF229" s="2411"/>
      <c r="AG229" s="2411"/>
      <c r="AH229" s="823"/>
      <c r="AI229" s="823"/>
      <c r="AJ229" s="823"/>
      <c r="AK229" s="608"/>
    </row>
    <row r="230" spans="1:37" hidden="1">
      <c r="A230" s="603"/>
      <c r="B230" s="2474" t="s">
        <v>1182</v>
      </c>
      <c r="C230" s="2474"/>
      <c r="D230" s="2474"/>
      <c r="E230" s="2474"/>
      <c r="F230" s="2474"/>
      <c r="G230" s="2474"/>
      <c r="I230" s="2433"/>
      <c r="J230" s="2433"/>
      <c r="K230" s="2433"/>
      <c r="L230" s="1010"/>
      <c r="N230" s="2431"/>
      <c r="O230" s="2431"/>
      <c r="P230" s="2431"/>
      <c r="Q230" s="2431"/>
      <c r="R230" s="2431"/>
      <c r="T230" s="2413"/>
      <c r="U230" s="2413"/>
      <c r="V230" s="2413"/>
      <c r="W230" s="2413"/>
      <c r="X230" s="2413"/>
      <c r="Y230" s="2413"/>
      <c r="Z230" s="847"/>
      <c r="AA230" s="847"/>
      <c r="AB230" s="2411">
        <f t="shared" si="0"/>
        <v>0</v>
      </c>
      <c r="AC230" s="2411"/>
      <c r="AD230" s="2411"/>
      <c r="AE230" s="2411"/>
      <c r="AF230" s="2411"/>
      <c r="AG230" s="2411"/>
      <c r="AH230" s="823"/>
      <c r="AI230" s="823"/>
      <c r="AJ230" s="823"/>
      <c r="AK230" s="608"/>
    </row>
    <row r="231" spans="1:37" hidden="1">
      <c r="A231" s="603"/>
      <c r="B231" s="2474" t="s">
        <v>1182</v>
      </c>
      <c r="C231" s="2474"/>
      <c r="D231" s="2474"/>
      <c r="E231" s="2474"/>
      <c r="F231" s="2474"/>
      <c r="G231" s="2474"/>
      <c r="I231" s="2433"/>
      <c r="J231" s="2433"/>
      <c r="K231" s="2433"/>
      <c r="L231" s="1010"/>
      <c r="N231" s="2431"/>
      <c r="O231" s="2431"/>
      <c r="P231" s="2431"/>
      <c r="Q231" s="2431"/>
      <c r="R231" s="2431"/>
      <c r="T231" s="2413"/>
      <c r="U231" s="2413"/>
      <c r="V231" s="2413"/>
      <c r="W231" s="2413"/>
      <c r="X231" s="2413"/>
      <c r="Y231" s="2413"/>
      <c r="Z231" s="847"/>
      <c r="AA231" s="847"/>
      <c r="AB231" s="2411">
        <f t="shared" si="0"/>
        <v>0</v>
      </c>
      <c r="AC231" s="2411"/>
      <c r="AD231" s="2411"/>
      <c r="AE231" s="2411"/>
      <c r="AF231" s="2411"/>
      <c r="AG231" s="2411"/>
      <c r="AH231" s="823"/>
      <c r="AI231" s="823"/>
      <c r="AJ231" s="823"/>
      <c r="AK231" s="608"/>
    </row>
    <row r="232" spans="1:37" hidden="1">
      <c r="A232" s="603"/>
      <c r="B232" s="2474" t="s">
        <v>1182</v>
      </c>
      <c r="C232" s="2474"/>
      <c r="D232" s="2474"/>
      <c r="E232" s="2474"/>
      <c r="F232" s="2474"/>
      <c r="G232" s="2474"/>
      <c r="I232" s="2605"/>
      <c r="J232" s="2605"/>
      <c r="K232" s="2605"/>
      <c r="L232" s="1010"/>
      <c r="N232" s="2431"/>
      <c r="O232" s="2431"/>
      <c r="P232" s="2431"/>
      <c r="Q232" s="2431"/>
      <c r="R232" s="2431"/>
      <c r="T232" s="2413"/>
      <c r="U232" s="2413"/>
      <c r="V232" s="2413"/>
      <c r="W232" s="2413"/>
      <c r="X232" s="2413"/>
      <c r="Y232" s="2413"/>
      <c r="Z232" s="847"/>
      <c r="AA232" s="847"/>
      <c r="AB232" s="2412">
        <f t="shared" si="0"/>
        <v>0</v>
      </c>
      <c r="AC232" s="2412"/>
      <c r="AD232" s="2412"/>
      <c r="AE232" s="2412"/>
      <c r="AF232" s="2412"/>
      <c r="AG232" s="24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11">
        <f>SUM(AB223:AB232)</f>
        <v>0</v>
      </c>
      <c r="AC233" s="2411"/>
      <c r="AD233" s="2411"/>
      <c r="AE233" s="2411"/>
      <c r="AF233" s="2411"/>
      <c r="AG233" s="241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6"/>
      <c r="AC239" s="2446"/>
      <c r="AD239" s="2446"/>
      <c r="AE239" s="2446"/>
      <c r="AF239" s="2446"/>
      <c r="AG239" s="2446"/>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6"/>
      <c r="AC242" s="2446"/>
      <c r="AD242" s="2446"/>
      <c r="AE242" s="2446"/>
      <c r="AF242" s="2446"/>
      <c r="AG242" s="2446"/>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9"/>
      <c r="AC243" s="2429"/>
      <c r="AD243" s="2429"/>
      <c r="AE243" s="2429"/>
      <c r="AF243" s="2429"/>
      <c r="AG243" s="2429"/>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4">
        <f>IFERROR(AB242/AB243,0)</f>
        <v>0</v>
      </c>
      <c r="AC244" s="2414"/>
      <c r="AD244" s="2414"/>
      <c r="AE244" s="2414"/>
      <c r="AF244" s="2414"/>
      <c r="AG244" s="241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2">
        <f>MAX(AB239,AB244)</f>
        <v>0</v>
      </c>
      <c r="AC246" s="2412"/>
      <c r="AD246" s="2412"/>
      <c r="AE246" s="2412"/>
      <c r="AF246" s="2412"/>
      <c r="AG246" s="24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1">
        <f>AB233+AB246</f>
        <v>0</v>
      </c>
      <c r="AC249" s="2411"/>
      <c r="AD249" s="2411"/>
      <c r="AE249" s="2411"/>
      <c r="AF249" s="2411"/>
      <c r="AG249" s="2411"/>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5">
        <v>0.05</v>
      </c>
      <c r="AC250" s="2585"/>
      <c r="AD250" s="2585"/>
      <c r="AE250" s="2585"/>
      <c r="AF250" s="2585"/>
      <c r="AG250" s="2585"/>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6">
        <f>AB249-(AB249*AB250)</f>
        <v>0</v>
      </c>
      <c r="AC251" s="2586"/>
      <c r="AD251" s="2586"/>
      <c r="AE251" s="2586"/>
      <c r="AF251" s="2586"/>
      <c r="AG251" s="2586"/>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1">
        <f>AB251/AB257</f>
        <v>0</v>
      </c>
      <c r="AC253" s="2411"/>
      <c r="AD253" s="2411"/>
      <c r="AE253" s="2411"/>
      <c r="AF253" s="2411"/>
      <c r="AG253" s="241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4">
        <v>15</v>
      </c>
      <c r="AC255" s="2594"/>
      <c r="AD255" s="2594"/>
      <c r="AE255" s="2594"/>
      <c r="AF255" s="2594"/>
      <c r="AG255" s="2594"/>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2">
        <v>0.04</v>
      </c>
      <c r="AC256" s="2562"/>
      <c r="AD256" s="2562"/>
      <c r="AE256" s="2562"/>
      <c r="AF256" s="2562"/>
      <c r="AG256" s="2562"/>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1">
        <v>1.1499999999999999</v>
      </c>
      <c r="AC257" s="2571"/>
      <c r="AD257" s="2571"/>
      <c r="AE257" s="2571"/>
      <c r="AF257" s="2571"/>
      <c r="AG257" s="257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8">
        <f>PV(AB256/12,AB255*12,-AB253/12, ,0)</f>
        <v>0</v>
      </c>
      <c r="AC259" s="2579"/>
      <c r="AD259" s="2579"/>
      <c r="AE259" s="2579"/>
      <c r="AF259" s="2579"/>
      <c r="AG259" s="2580"/>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2">
        <f>IFERROR(('Sources and Uses Budget'!D105/'Sources and Uses Budget'!B105),0)</f>
        <v>0</v>
      </c>
      <c r="AC265" s="2583"/>
      <c r="AD265" s="2583"/>
      <c r="AE265" s="2583"/>
      <c r="AF265" s="2583"/>
      <c r="AG265" s="2584"/>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9">
        <f>AD210*(1-AB265)</f>
        <v>0</v>
      </c>
      <c r="AH267" s="2439"/>
      <c r="AI267" s="2439"/>
      <c r="AJ267" s="2439"/>
      <c r="AK267" s="2439"/>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9">
        <f>'Sources and Uses Budget'!C105</f>
        <v>64089184</v>
      </c>
      <c r="AH268" s="2439"/>
      <c r="AI268" s="2439"/>
      <c r="AJ268" s="2439"/>
      <c r="AK268" s="243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4">
        <f>ROUNDDOWN(IF(AND(C305="Yes",AK83=10),((AG267*2)/AG268),AG267/AG268),2)</f>
        <v>0</v>
      </c>
      <c r="AH269" s="2574"/>
      <c r="AI269" s="2574"/>
      <c r="AJ269" s="2574"/>
      <c r="AK269" s="2574"/>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4">
        <f>IFERROR(IF(AG269=0,0,IF((AG269*100)&gt;8,8,(AG269*100))),0)</f>
        <v>0</v>
      </c>
      <c r="AL272" s="2564"/>
      <c r="AM272" s="2565"/>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5" t="s">
        <v>544</v>
      </c>
      <c r="D279" s="2415"/>
      <c r="E279" s="546"/>
      <c r="F279" s="2402" t="s">
        <v>2561</v>
      </c>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49"/>
      <c r="AF279" s="633"/>
      <c r="AG279" s="2572" t="s">
        <v>1355</v>
      </c>
      <c r="AH279" s="2572"/>
      <c r="AI279" s="2572"/>
      <c r="AJ279" s="2572"/>
      <c r="AK279" s="549"/>
      <c r="AL279" s="549"/>
      <c r="AM279" s="549"/>
      <c r="AO279" s="549"/>
    </row>
    <row r="280" spans="1:52" ht="13.7" customHeight="1">
      <c r="A280" s="549"/>
      <c r="B280" s="594"/>
      <c r="C280" s="634"/>
      <c r="D280" s="549"/>
      <c r="E280" s="546"/>
      <c r="F280" s="2405"/>
      <c r="G280" s="2406"/>
      <c r="H280" s="2406"/>
      <c r="I280" s="2406"/>
      <c r="J280" s="2406"/>
      <c r="K280" s="2406"/>
      <c r="L280" s="2406"/>
      <c r="M280" s="2406"/>
      <c r="N280" s="2406"/>
      <c r="O280" s="2406"/>
      <c r="P280" s="2406"/>
      <c r="Q280" s="2406"/>
      <c r="R280" s="2406"/>
      <c r="S280" s="2406"/>
      <c r="T280" s="2406"/>
      <c r="U280" s="2406"/>
      <c r="V280" s="2406"/>
      <c r="W280" s="2406"/>
      <c r="X280" s="2406"/>
      <c r="Y280" s="2406"/>
      <c r="Z280" s="2406"/>
      <c r="AA280" s="2406"/>
      <c r="AB280" s="2406"/>
      <c r="AC280" s="2406"/>
      <c r="AD280" s="2407"/>
      <c r="AE280" s="549"/>
      <c r="AF280" s="633"/>
      <c r="AG280" s="633"/>
      <c r="AH280" s="633"/>
      <c r="AI280" s="633"/>
      <c r="AJ280" s="549"/>
      <c r="AK280" s="549"/>
      <c r="AL280" s="549"/>
      <c r="AM280" s="549"/>
      <c r="AO280" s="549"/>
    </row>
    <row r="281" spans="1:52" ht="13.7" customHeight="1">
      <c r="A281" s="549"/>
      <c r="B281" s="594"/>
      <c r="C281" s="634"/>
      <c r="D281" s="549"/>
      <c r="E281" s="546"/>
      <c r="F281" s="2405"/>
      <c r="G281" s="2406"/>
      <c r="H281" s="2406"/>
      <c r="I281" s="2406"/>
      <c r="J281" s="2406"/>
      <c r="K281" s="2406"/>
      <c r="L281" s="2406"/>
      <c r="M281" s="2406"/>
      <c r="N281" s="2406"/>
      <c r="O281" s="2406"/>
      <c r="P281" s="2406"/>
      <c r="Q281" s="2406"/>
      <c r="R281" s="2406"/>
      <c r="S281" s="2406"/>
      <c r="T281" s="2406"/>
      <c r="U281" s="2406"/>
      <c r="V281" s="2406"/>
      <c r="W281" s="2406"/>
      <c r="X281" s="2406"/>
      <c r="Y281" s="2406"/>
      <c r="Z281" s="2406"/>
      <c r="AA281" s="2406"/>
      <c r="AB281" s="2406"/>
      <c r="AC281" s="2406"/>
      <c r="AD281" s="2407"/>
      <c r="AE281" s="549"/>
      <c r="AF281" s="633"/>
      <c r="AG281" s="633"/>
      <c r="AH281" s="633"/>
      <c r="AI281" s="633"/>
      <c r="AJ281" s="549"/>
      <c r="AK281" s="549"/>
      <c r="AL281" s="549"/>
      <c r="AM281" s="549"/>
      <c r="AO281" s="549"/>
    </row>
    <row r="282" spans="1:52" ht="13.7" customHeight="1">
      <c r="A282" s="549"/>
      <c r="B282" s="594"/>
      <c r="C282" s="634"/>
      <c r="D282" s="549"/>
      <c r="E282" s="546"/>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49"/>
      <c r="AF282" s="633"/>
      <c r="AG282" s="633"/>
      <c r="AH282" s="633"/>
      <c r="AI282" s="633"/>
      <c r="AJ282" s="549"/>
      <c r="AK282" s="549"/>
      <c r="AL282" s="549"/>
      <c r="AM282" s="549"/>
      <c r="AO282" s="549"/>
    </row>
    <row r="283" spans="1:52" ht="13.7" customHeight="1">
      <c r="A283" s="549"/>
      <c r="B283" s="594"/>
      <c r="C283" s="634"/>
      <c r="D283" s="549"/>
      <c r="E283" s="546"/>
      <c r="F283" s="2405"/>
      <c r="G283" s="2406"/>
      <c r="H283" s="2406"/>
      <c r="I283" s="2406"/>
      <c r="J283" s="2406"/>
      <c r="K283" s="2406"/>
      <c r="L283" s="2406"/>
      <c r="M283" s="2406"/>
      <c r="N283" s="2406"/>
      <c r="O283" s="2406"/>
      <c r="P283" s="2406"/>
      <c r="Q283" s="2406"/>
      <c r="R283" s="2406"/>
      <c r="S283" s="2406"/>
      <c r="T283" s="2406"/>
      <c r="U283" s="2406"/>
      <c r="V283" s="2406"/>
      <c r="W283" s="2406"/>
      <c r="X283" s="2406"/>
      <c r="Y283" s="2406"/>
      <c r="Z283" s="2406"/>
      <c r="AA283" s="2406"/>
      <c r="AB283" s="2406"/>
      <c r="AC283" s="2406"/>
      <c r="AD283" s="2407"/>
      <c r="AE283" s="549"/>
      <c r="AF283" s="633"/>
      <c r="AG283" s="633"/>
      <c r="AH283" s="633"/>
      <c r="AI283" s="633"/>
      <c r="AJ283" s="549"/>
      <c r="AK283" s="549"/>
      <c r="AL283" s="549"/>
      <c r="AM283" s="549"/>
      <c r="AO283" s="549"/>
    </row>
    <row r="284" spans="1:52">
      <c r="A284" s="549"/>
      <c r="B284" s="594"/>
      <c r="C284" s="634"/>
      <c r="D284" s="549"/>
      <c r="E284" s="546"/>
      <c r="F284" s="2405"/>
      <c r="G284" s="2406"/>
      <c r="H284" s="2406"/>
      <c r="I284" s="2406"/>
      <c r="J284" s="2406"/>
      <c r="K284" s="2406"/>
      <c r="L284" s="2406"/>
      <c r="M284" s="2406"/>
      <c r="N284" s="2406"/>
      <c r="O284" s="2406"/>
      <c r="P284" s="2406"/>
      <c r="Q284" s="2406"/>
      <c r="R284" s="2406"/>
      <c r="S284" s="2406"/>
      <c r="T284" s="2406"/>
      <c r="U284" s="2406"/>
      <c r="V284" s="2406"/>
      <c r="W284" s="2406"/>
      <c r="X284" s="2406"/>
      <c r="Y284" s="2406"/>
      <c r="Z284" s="2406"/>
      <c r="AA284" s="2406"/>
      <c r="AB284" s="2406"/>
      <c r="AC284" s="2406"/>
      <c r="AD284" s="2407"/>
      <c r="AE284" s="549"/>
      <c r="AF284" s="633"/>
      <c r="AG284" s="633"/>
      <c r="AH284" s="633"/>
      <c r="AI284" s="633"/>
      <c r="AJ284" s="549"/>
      <c r="AK284" s="549"/>
      <c r="AL284" s="549"/>
      <c r="AM284" s="549"/>
      <c r="AO284" s="549"/>
      <c r="AP284" s="635"/>
    </row>
    <row r="285" spans="1:52">
      <c r="A285" s="549"/>
      <c r="B285" s="594"/>
      <c r="C285" s="634"/>
      <c r="D285" s="549"/>
      <c r="E285" s="546"/>
      <c r="F285" s="2405"/>
      <c r="G285" s="2406"/>
      <c r="H285" s="2406"/>
      <c r="I285" s="2406"/>
      <c r="J285" s="2406"/>
      <c r="K285" s="2406"/>
      <c r="L285" s="2406"/>
      <c r="M285" s="2406"/>
      <c r="N285" s="2406"/>
      <c r="O285" s="2406"/>
      <c r="P285" s="2406"/>
      <c r="Q285" s="2406"/>
      <c r="R285" s="2406"/>
      <c r="S285" s="2406"/>
      <c r="T285" s="2406"/>
      <c r="U285" s="2406"/>
      <c r="V285" s="2406"/>
      <c r="W285" s="2406"/>
      <c r="X285" s="2406"/>
      <c r="Y285" s="2406"/>
      <c r="Z285" s="2406"/>
      <c r="AA285" s="2406"/>
      <c r="AB285" s="2406"/>
      <c r="AC285" s="2406"/>
      <c r="AD285" s="2407"/>
      <c r="AE285" s="549"/>
      <c r="AF285" s="633"/>
      <c r="AG285" s="633"/>
      <c r="AH285" s="633"/>
      <c r="AI285" s="633"/>
      <c r="AJ285" s="549"/>
      <c r="AK285" s="549"/>
      <c r="AL285" s="549"/>
      <c r="AM285" s="549"/>
      <c r="AO285" s="549"/>
      <c r="AP285" s="635"/>
    </row>
    <row r="286" spans="1:52" ht="13.7" customHeight="1">
      <c r="A286" s="549"/>
      <c r="B286" s="594"/>
      <c r="C286" s="2573"/>
      <c r="D286" s="2573"/>
      <c r="E286" s="546"/>
      <c r="F286" s="2408"/>
      <c r="G286" s="2409"/>
      <c r="H286" s="2409"/>
      <c r="I286" s="2409"/>
      <c r="J286" s="2409"/>
      <c r="K286" s="2409"/>
      <c r="L286" s="2409"/>
      <c r="M286" s="2409"/>
      <c r="N286" s="2409"/>
      <c r="O286" s="2409"/>
      <c r="P286" s="2409"/>
      <c r="Q286" s="2409"/>
      <c r="R286" s="2409"/>
      <c r="S286" s="2409"/>
      <c r="T286" s="2409"/>
      <c r="U286" s="2409"/>
      <c r="V286" s="2409"/>
      <c r="W286" s="2409"/>
      <c r="X286" s="2409"/>
      <c r="Y286" s="2409"/>
      <c r="Z286" s="2409"/>
      <c r="AA286" s="2409"/>
      <c r="AB286" s="2409"/>
      <c r="AC286" s="2409"/>
      <c r="AD286" s="2410"/>
      <c r="AE286" s="549"/>
      <c r="AF286" s="633"/>
      <c r="AG286" s="2572"/>
      <c r="AH286" s="2572"/>
      <c r="AI286" s="2572"/>
      <c r="AJ286" s="2572"/>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4" t="s">
        <v>2568</v>
      </c>
      <c r="C289" s="2444"/>
      <c r="D289" s="2444"/>
      <c r="E289" s="2444"/>
      <c r="F289" s="2444"/>
      <c r="G289" s="2444"/>
      <c r="H289" s="2444"/>
      <c r="I289" s="2444"/>
      <c r="J289" s="2444"/>
      <c r="K289" s="2444"/>
      <c r="L289" s="2444"/>
      <c r="M289" s="2444"/>
      <c r="N289" s="2444"/>
      <c r="O289" s="2444"/>
      <c r="P289" s="2444"/>
      <c r="Q289" s="2444"/>
      <c r="R289" s="2444"/>
      <c r="S289" s="2444"/>
      <c r="T289" s="2444"/>
      <c r="U289" s="2444"/>
      <c r="V289" s="2444"/>
      <c r="W289" s="2444"/>
      <c r="X289" s="2444"/>
      <c r="Y289" s="2444"/>
      <c r="Z289" s="2444"/>
      <c r="AA289" s="2444"/>
      <c r="AB289" s="2444"/>
      <c r="AC289" s="2444"/>
      <c r="AD289" s="2444"/>
      <c r="AE289" s="2444"/>
      <c r="AF289" s="2444"/>
      <c r="AG289" s="2444"/>
      <c r="AH289" s="2444"/>
      <c r="AI289" s="2444"/>
      <c r="AJ289" s="2444"/>
      <c r="AK289" s="2444"/>
      <c r="AL289" s="2444"/>
      <c r="AM289" s="549"/>
      <c r="AN289" s="73"/>
    </row>
    <row r="290" spans="1:49">
      <c r="A290" s="549"/>
      <c r="B290" s="2444"/>
      <c r="C290" s="2444"/>
      <c r="D290" s="2444"/>
      <c r="E290" s="2444"/>
      <c r="F290" s="2444"/>
      <c r="G290" s="2444"/>
      <c r="H290" s="2444"/>
      <c r="I290" s="2444"/>
      <c r="J290" s="2444"/>
      <c r="K290" s="2444"/>
      <c r="L290" s="2444"/>
      <c r="M290" s="2444"/>
      <c r="N290" s="2444"/>
      <c r="O290" s="2444"/>
      <c r="P290" s="2444"/>
      <c r="Q290" s="2444"/>
      <c r="R290" s="2444"/>
      <c r="S290" s="2444"/>
      <c r="T290" s="2444"/>
      <c r="U290" s="2444"/>
      <c r="V290" s="2444"/>
      <c r="W290" s="2444"/>
      <c r="X290" s="2444"/>
      <c r="Y290" s="2444"/>
      <c r="Z290" s="2444"/>
      <c r="AA290" s="2444"/>
      <c r="AB290" s="2444"/>
      <c r="AC290" s="2444"/>
      <c r="AD290" s="2444"/>
      <c r="AE290" s="2444"/>
      <c r="AF290" s="2444"/>
      <c r="AG290" s="2444"/>
      <c r="AH290" s="2444"/>
      <c r="AI290" s="2444"/>
      <c r="AJ290" s="2444"/>
      <c r="AK290" s="2444"/>
      <c r="AL290" s="2444"/>
      <c r="AM290" s="549"/>
      <c r="AN290" s="73"/>
    </row>
    <row r="291" spans="1:49">
      <c r="A291" s="549"/>
      <c r="B291" s="2444"/>
      <c r="C291" s="2444"/>
      <c r="D291" s="2444"/>
      <c r="E291" s="2444"/>
      <c r="F291" s="2444"/>
      <c r="G291" s="2444"/>
      <c r="H291" s="2444"/>
      <c r="I291" s="2444"/>
      <c r="J291" s="2444"/>
      <c r="K291" s="2444"/>
      <c r="L291" s="2444"/>
      <c r="M291" s="2444"/>
      <c r="N291" s="2444"/>
      <c r="O291" s="2444"/>
      <c r="P291" s="2444"/>
      <c r="Q291" s="2444"/>
      <c r="R291" s="2444"/>
      <c r="S291" s="2444"/>
      <c r="T291" s="2444"/>
      <c r="U291" s="2444"/>
      <c r="V291" s="2444"/>
      <c r="W291" s="2444"/>
      <c r="X291" s="2444"/>
      <c r="Y291" s="2444"/>
      <c r="Z291" s="2444"/>
      <c r="AA291" s="2444"/>
      <c r="AB291" s="2444"/>
      <c r="AC291" s="2444"/>
      <c r="AD291" s="2444"/>
      <c r="AE291" s="2444"/>
      <c r="AF291" s="2444"/>
      <c r="AG291" s="2444"/>
      <c r="AH291" s="2444"/>
      <c r="AI291" s="2444"/>
      <c r="AJ291" s="2444"/>
      <c r="AK291" s="2444"/>
      <c r="AL291" s="2444"/>
      <c r="AM291" s="549"/>
      <c r="AN291" s="73"/>
    </row>
    <row r="292" spans="1:49">
      <c r="A292" s="549"/>
      <c r="B292" s="2444"/>
      <c r="C292" s="2444"/>
      <c r="D292" s="2444"/>
      <c r="E292" s="2444"/>
      <c r="F292" s="2444"/>
      <c r="G292" s="2444"/>
      <c r="H292" s="2444"/>
      <c r="I292" s="2444"/>
      <c r="J292" s="2444"/>
      <c r="K292" s="2444"/>
      <c r="L292" s="2444"/>
      <c r="M292" s="2444"/>
      <c r="N292" s="2444"/>
      <c r="O292" s="2444"/>
      <c r="P292" s="2444"/>
      <c r="Q292" s="2444"/>
      <c r="R292" s="2444"/>
      <c r="S292" s="2444"/>
      <c r="T292" s="2444"/>
      <c r="U292" s="2444"/>
      <c r="V292" s="2444"/>
      <c r="W292" s="2444"/>
      <c r="X292" s="2444"/>
      <c r="Y292" s="2444"/>
      <c r="Z292" s="2444"/>
      <c r="AA292" s="2444"/>
      <c r="AB292" s="2444"/>
      <c r="AC292" s="2444"/>
      <c r="AD292" s="2444"/>
      <c r="AE292" s="2444"/>
      <c r="AF292" s="2444"/>
      <c r="AG292" s="2444"/>
      <c r="AH292" s="2444"/>
      <c r="AI292" s="2444"/>
      <c r="AJ292" s="2444"/>
      <c r="AK292" s="2444"/>
      <c r="AL292" s="2444"/>
      <c r="AM292" s="549"/>
      <c r="AN292" s="73"/>
    </row>
    <row r="293" spans="1:49">
      <c r="A293" s="549"/>
      <c r="B293" s="2444"/>
      <c r="C293" s="2444"/>
      <c r="D293" s="2444"/>
      <c r="E293" s="2444"/>
      <c r="F293" s="2444"/>
      <c r="G293" s="2444"/>
      <c r="H293" s="2444"/>
      <c r="I293" s="2444"/>
      <c r="J293" s="2444"/>
      <c r="K293" s="2444"/>
      <c r="L293" s="2444"/>
      <c r="M293" s="2444"/>
      <c r="N293" s="2444"/>
      <c r="O293" s="2444"/>
      <c r="P293" s="2444"/>
      <c r="Q293" s="2444"/>
      <c r="R293" s="2444"/>
      <c r="S293" s="2444"/>
      <c r="T293" s="2444"/>
      <c r="U293" s="2444"/>
      <c r="V293" s="2444"/>
      <c r="W293" s="2444"/>
      <c r="X293" s="2444"/>
      <c r="Y293" s="2444"/>
      <c r="Z293" s="2444"/>
      <c r="AA293" s="2444"/>
      <c r="AB293" s="2444"/>
      <c r="AC293" s="2444"/>
      <c r="AD293" s="2444"/>
      <c r="AE293" s="2444"/>
      <c r="AF293" s="2444"/>
      <c r="AG293" s="2444"/>
      <c r="AH293" s="2444"/>
      <c r="AI293" s="2444"/>
      <c r="AJ293" s="2444"/>
      <c r="AK293" s="2444"/>
      <c r="AL293" s="2444"/>
      <c r="AM293" s="549"/>
      <c r="AN293" s="73"/>
    </row>
    <row r="294" spans="1:49">
      <c r="A294" s="549"/>
      <c r="B294" s="2444"/>
      <c r="C294" s="2444"/>
      <c r="D294" s="2444"/>
      <c r="E294" s="2444"/>
      <c r="F294" s="2444"/>
      <c r="G294" s="2444"/>
      <c r="H294" s="2444"/>
      <c r="I294" s="2444"/>
      <c r="J294" s="2444"/>
      <c r="K294" s="2444"/>
      <c r="L294" s="2444"/>
      <c r="M294" s="2444"/>
      <c r="N294" s="2444"/>
      <c r="O294" s="2444"/>
      <c r="P294" s="2444"/>
      <c r="Q294" s="2444"/>
      <c r="R294" s="2444"/>
      <c r="S294" s="2444"/>
      <c r="T294" s="2444"/>
      <c r="U294" s="2444"/>
      <c r="V294" s="2444"/>
      <c r="W294" s="2444"/>
      <c r="X294" s="2444"/>
      <c r="Y294" s="2444"/>
      <c r="Z294" s="2444"/>
      <c r="AA294" s="2444"/>
      <c r="AB294" s="2444"/>
      <c r="AC294" s="2444"/>
      <c r="AD294" s="2444"/>
      <c r="AE294" s="2444"/>
      <c r="AF294" s="2444"/>
      <c r="AG294" s="2444"/>
      <c r="AH294" s="2444"/>
      <c r="AI294" s="2444"/>
      <c r="AJ294" s="2444"/>
      <c r="AK294" s="2444"/>
      <c r="AL294" s="2444"/>
      <c r="AM294" s="549"/>
      <c r="AN294" s="73"/>
    </row>
    <row r="295" spans="1:49">
      <c r="A295" s="549"/>
      <c r="B295" s="2444"/>
      <c r="C295" s="2444"/>
      <c r="D295" s="2444"/>
      <c r="E295" s="2444"/>
      <c r="F295" s="2444"/>
      <c r="G295" s="2444"/>
      <c r="H295" s="2444"/>
      <c r="I295" s="2444"/>
      <c r="J295" s="2444"/>
      <c r="K295" s="2444"/>
      <c r="L295" s="2444"/>
      <c r="M295" s="2444"/>
      <c r="N295" s="2444"/>
      <c r="O295" s="2444"/>
      <c r="P295" s="2444"/>
      <c r="Q295" s="2444"/>
      <c r="R295" s="2444"/>
      <c r="S295" s="2444"/>
      <c r="T295" s="2444"/>
      <c r="U295" s="2444"/>
      <c r="V295" s="2444"/>
      <c r="W295" s="2444"/>
      <c r="X295" s="2444"/>
      <c r="Y295" s="2444"/>
      <c r="Z295" s="2444"/>
      <c r="AA295" s="2444"/>
      <c r="AB295" s="2444"/>
      <c r="AC295" s="2444"/>
      <c r="AD295" s="2444"/>
      <c r="AE295" s="2444"/>
      <c r="AF295" s="2444"/>
      <c r="AG295" s="2444"/>
      <c r="AH295" s="2444"/>
      <c r="AI295" s="2444"/>
      <c r="AJ295" s="2444"/>
      <c r="AK295" s="2444"/>
      <c r="AL295" s="2444"/>
      <c r="AM295" s="549"/>
      <c r="AN295" s="73"/>
    </row>
    <row r="296" spans="1:49">
      <c r="A296" s="549"/>
      <c r="B296" s="2444"/>
      <c r="C296" s="2444"/>
      <c r="D296" s="2444"/>
      <c r="E296" s="2444"/>
      <c r="F296" s="2444"/>
      <c r="G296" s="2444"/>
      <c r="H296" s="2444"/>
      <c r="I296" s="2444"/>
      <c r="J296" s="2444"/>
      <c r="K296" s="2444"/>
      <c r="L296" s="2444"/>
      <c r="M296" s="2444"/>
      <c r="N296" s="2444"/>
      <c r="O296" s="2444"/>
      <c r="P296" s="2444"/>
      <c r="Q296" s="2444"/>
      <c r="R296" s="2444"/>
      <c r="S296" s="2444"/>
      <c r="T296" s="2444"/>
      <c r="U296" s="2444"/>
      <c r="V296" s="2444"/>
      <c r="W296" s="2444"/>
      <c r="X296" s="2444"/>
      <c r="Y296" s="2444"/>
      <c r="Z296" s="2444"/>
      <c r="AA296" s="2444"/>
      <c r="AB296" s="2444"/>
      <c r="AC296" s="2444"/>
      <c r="AD296" s="2444"/>
      <c r="AE296" s="2444"/>
      <c r="AF296" s="2444"/>
      <c r="AG296" s="2444"/>
      <c r="AH296" s="2444"/>
      <c r="AI296" s="2444"/>
      <c r="AJ296" s="2444"/>
      <c r="AK296" s="2444"/>
      <c r="AL296" s="244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4">
        <f>IF($C$279="yes",10,0)</f>
        <v>10</v>
      </c>
      <c r="AL298" s="2564"/>
      <c r="AM298" s="2565"/>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94" t="s">
        <v>1372</v>
      </c>
      <c r="B305" s="1594"/>
      <c r="C305" s="2401" t="s">
        <v>544</v>
      </c>
      <c r="D305" s="2415"/>
      <c r="E305" s="546"/>
      <c r="F305" s="2566" t="s">
        <v>1373</v>
      </c>
      <c r="G305" s="2567"/>
      <c r="H305" s="2567"/>
      <c r="I305" s="2567"/>
      <c r="J305" s="2567"/>
      <c r="K305" s="2567"/>
      <c r="L305" s="2567"/>
      <c r="M305" s="2567"/>
      <c r="N305" s="2567"/>
      <c r="O305" s="2567"/>
      <c r="P305" s="2567"/>
      <c r="Q305" s="2567"/>
      <c r="R305" s="2567"/>
      <c r="S305" s="2567"/>
      <c r="T305" s="2567"/>
      <c r="U305" s="2567"/>
      <c r="V305" s="2567"/>
      <c r="W305" s="2567"/>
      <c r="X305" s="2567"/>
      <c r="Y305" s="2567"/>
      <c r="Z305" s="2567"/>
      <c r="AA305" s="2567"/>
      <c r="AB305" s="2567"/>
      <c r="AC305" s="2567"/>
      <c r="AD305" s="2568"/>
      <c r="AE305" s="640"/>
      <c r="AF305" s="549"/>
      <c r="AG305" s="2569" t="s">
        <v>1979</v>
      </c>
      <c r="AH305" s="2569"/>
      <c r="AI305" s="2569"/>
      <c r="AJ305" s="2569"/>
      <c r="AK305" s="2569"/>
      <c r="AL305" s="549"/>
      <c r="AM305" s="549"/>
      <c r="AN305" s="73"/>
      <c r="AO305" s="14"/>
      <c r="AP305" s="30"/>
      <c r="AS305" s="568"/>
      <c r="AT305" s="568"/>
      <c r="AU305" s="568"/>
      <c r="AV305" s="32"/>
      <c r="AW305" s="32"/>
    </row>
    <row r="306" spans="1:49">
      <c r="A306" s="638"/>
      <c r="B306" s="594"/>
      <c r="F306" s="2435"/>
      <c r="G306" s="2393"/>
      <c r="H306" s="2393"/>
      <c r="I306" s="2393"/>
      <c r="J306" s="2393"/>
      <c r="K306" s="2393"/>
      <c r="L306" s="2393"/>
      <c r="M306" s="2393"/>
      <c r="N306" s="2393"/>
      <c r="O306" s="2393"/>
      <c r="P306" s="2393"/>
      <c r="Q306" s="2393"/>
      <c r="R306" s="2393"/>
      <c r="S306" s="2393"/>
      <c r="T306" s="2393"/>
      <c r="U306" s="2393"/>
      <c r="V306" s="2393"/>
      <c r="W306" s="2393"/>
      <c r="X306" s="2393"/>
      <c r="Y306" s="2393"/>
      <c r="Z306" s="2393"/>
      <c r="AA306" s="2393"/>
      <c r="AB306" s="2393"/>
      <c r="AC306" s="2393"/>
      <c r="AD306" s="2436"/>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5"/>
      <c r="G307" s="2393"/>
      <c r="H307" s="2393"/>
      <c r="I307" s="2393"/>
      <c r="J307" s="2393"/>
      <c r="K307" s="2393"/>
      <c r="L307" s="2393"/>
      <c r="M307" s="2393"/>
      <c r="N307" s="2393"/>
      <c r="O307" s="2393"/>
      <c r="P307" s="2393"/>
      <c r="Q307" s="2393"/>
      <c r="R307" s="2393"/>
      <c r="S307" s="2393"/>
      <c r="T307" s="2393"/>
      <c r="U307" s="2393"/>
      <c r="V307" s="2393"/>
      <c r="W307" s="2393"/>
      <c r="X307" s="2393"/>
      <c r="Y307" s="2393"/>
      <c r="Z307" s="2393"/>
      <c r="AA307" s="2393"/>
      <c r="AB307" s="2393"/>
      <c r="AC307" s="2393"/>
      <c r="AD307" s="2436"/>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5" t="s">
        <v>1984</v>
      </c>
      <c r="G308" s="2393"/>
      <c r="H308" s="2393"/>
      <c r="I308" s="2393"/>
      <c r="J308" s="2393"/>
      <c r="K308" s="2393"/>
      <c r="L308" s="2393"/>
      <c r="M308" s="2393"/>
      <c r="N308" s="2393"/>
      <c r="O308" s="2393"/>
      <c r="P308" s="2393"/>
      <c r="Q308" s="2393"/>
      <c r="R308" s="2393"/>
      <c r="S308" s="2393"/>
      <c r="T308" s="2393"/>
      <c r="U308" s="2393"/>
      <c r="V308" s="2393"/>
      <c r="W308" s="2393"/>
      <c r="X308" s="2393"/>
      <c r="Y308" s="2393"/>
      <c r="Z308" s="2393"/>
      <c r="AA308" s="2393"/>
      <c r="AB308" s="2393"/>
      <c r="AC308" s="2393"/>
      <c r="AD308" s="2436"/>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5"/>
      <c r="G309" s="2393"/>
      <c r="H309" s="2393"/>
      <c r="I309" s="2393"/>
      <c r="J309" s="2393"/>
      <c r="K309" s="2393"/>
      <c r="L309" s="2393"/>
      <c r="M309" s="2393"/>
      <c r="N309" s="2393"/>
      <c r="O309" s="2393"/>
      <c r="P309" s="2393"/>
      <c r="Q309" s="2393"/>
      <c r="R309" s="2393"/>
      <c r="S309" s="2393"/>
      <c r="T309" s="2393"/>
      <c r="U309" s="2393"/>
      <c r="V309" s="2393"/>
      <c r="W309" s="2393"/>
      <c r="X309" s="2393"/>
      <c r="Y309" s="2393"/>
      <c r="Z309" s="2393"/>
      <c r="AA309" s="2393"/>
      <c r="AB309" s="2393"/>
      <c r="AC309" s="2393"/>
      <c r="AD309" s="243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5" t="s">
        <v>1374</v>
      </c>
      <c r="G310" s="2393"/>
      <c r="H310" s="2393"/>
      <c r="I310" s="2393"/>
      <c r="J310" s="2393"/>
      <c r="K310" s="2393"/>
      <c r="L310" s="2393"/>
      <c r="M310" s="2393"/>
      <c r="N310" s="2393"/>
      <c r="O310" s="2393"/>
      <c r="P310" s="2393"/>
      <c r="Q310" s="2393"/>
      <c r="R310" s="2393"/>
      <c r="S310" s="2393"/>
      <c r="T310" s="2393"/>
      <c r="U310" s="2393"/>
      <c r="V310" s="2393"/>
      <c r="W310" s="2393"/>
      <c r="X310" s="2393"/>
      <c r="Y310" s="2393"/>
      <c r="Z310" s="2393"/>
      <c r="AA310" s="2393"/>
      <c r="AB310" s="2393"/>
      <c r="AC310" s="2393"/>
      <c r="AD310" s="243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5"/>
      <c r="G311" s="2393"/>
      <c r="H311" s="2393"/>
      <c r="I311" s="2393"/>
      <c r="J311" s="2393"/>
      <c r="K311" s="2393"/>
      <c r="L311" s="2393"/>
      <c r="M311" s="2393"/>
      <c r="N311" s="2393"/>
      <c r="O311" s="2393"/>
      <c r="P311" s="2393"/>
      <c r="Q311" s="2393"/>
      <c r="R311" s="2393"/>
      <c r="S311" s="2393"/>
      <c r="T311" s="2393"/>
      <c r="U311" s="2393"/>
      <c r="V311" s="2393"/>
      <c r="W311" s="2393"/>
      <c r="X311" s="2393"/>
      <c r="Y311" s="2393"/>
      <c r="Z311" s="2393"/>
      <c r="AA311" s="2393"/>
      <c r="AB311" s="2393"/>
      <c r="AC311" s="2393"/>
      <c r="AD311" s="243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5" t="s">
        <v>1375</v>
      </c>
      <c r="G312" s="2393"/>
      <c r="H312" s="2393"/>
      <c r="I312" s="2393"/>
      <c r="J312" s="2393"/>
      <c r="K312" s="2393"/>
      <c r="L312" s="2393"/>
      <c r="M312" s="2393"/>
      <c r="N312" s="2393"/>
      <c r="O312" s="2393"/>
      <c r="P312" s="2393"/>
      <c r="Q312" s="2393"/>
      <c r="R312" s="2393"/>
      <c r="S312" s="2393"/>
      <c r="T312" s="2393"/>
      <c r="U312" s="2393"/>
      <c r="V312" s="2393"/>
      <c r="W312" s="2393"/>
      <c r="X312" s="2393"/>
      <c r="Y312" s="2393"/>
      <c r="Z312" s="2393"/>
      <c r="AA312" s="2393"/>
      <c r="AB312" s="2393"/>
      <c r="AC312" s="2393"/>
      <c r="AD312" s="243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7"/>
      <c r="G313" s="2438"/>
      <c r="H313" s="2438"/>
      <c r="I313" s="2438"/>
      <c r="J313" s="2438"/>
      <c r="K313" s="2438"/>
      <c r="L313" s="2438"/>
      <c r="M313" s="2438"/>
      <c r="N313" s="2438"/>
      <c r="O313" s="2438"/>
      <c r="P313" s="2438"/>
      <c r="Q313" s="2438"/>
      <c r="R313" s="2438"/>
      <c r="S313" s="2438"/>
      <c r="T313" s="2438"/>
      <c r="U313" s="2438"/>
      <c r="V313" s="2438"/>
      <c r="W313" s="2438"/>
      <c r="X313" s="2438"/>
      <c r="Y313" s="2438"/>
      <c r="Z313" s="2438"/>
      <c r="AA313" s="2438"/>
      <c r="AB313" s="2438"/>
      <c r="AC313" s="2438"/>
      <c r="AD313" s="256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94" t="s">
        <v>1376</v>
      </c>
      <c r="B315" s="1594"/>
      <c r="C315" s="2415" t="s">
        <v>590</v>
      </c>
      <c r="D315" s="2415"/>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5" t="s">
        <v>1980</v>
      </c>
      <c r="G316" s="2393"/>
      <c r="H316" s="2393"/>
      <c r="I316" s="2393"/>
      <c r="J316" s="2393"/>
      <c r="K316" s="2393"/>
      <c r="L316" s="2393"/>
      <c r="M316" s="2393"/>
      <c r="N316" s="2393"/>
      <c r="O316" s="2393"/>
      <c r="P316" s="2393"/>
      <c r="Q316" s="2393"/>
      <c r="R316" s="2393"/>
      <c r="S316" s="2393"/>
      <c r="T316" s="2393"/>
      <c r="U316" s="2393"/>
      <c r="V316" s="2393"/>
      <c r="W316" s="2393"/>
      <c r="X316" s="2393"/>
      <c r="Y316" s="2393"/>
      <c r="Z316" s="2393"/>
      <c r="AA316" s="2393"/>
      <c r="AB316" s="2393"/>
      <c r="AC316" s="2393"/>
      <c r="AD316" s="2436"/>
      <c r="AE316" s="550"/>
      <c r="AF316" s="550"/>
      <c r="AG316" s="550"/>
      <c r="AH316" s="550"/>
      <c r="AI316" s="550"/>
      <c r="AJ316" s="549"/>
      <c r="AK316" s="549"/>
      <c r="AL316" s="549"/>
      <c r="AM316" s="549"/>
      <c r="AR316" s="644"/>
    </row>
    <row r="317" spans="1:49" ht="15" customHeight="1">
      <c r="A317" s="549"/>
      <c r="B317" s="550"/>
      <c r="C317" s="549"/>
      <c r="D317" s="550"/>
      <c r="E317" s="549"/>
      <c r="F317" s="2435"/>
      <c r="G317" s="2393"/>
      <c r="H317" s="2393"/>
      <c r="I317" s="2393"/>
      <c r="J317" s="2393"/>
      <c r="K317" s="2393"/>
      <c r="L317" s="2393"/>
      <c r="M317" s="2393"/>
      <c r="N317" s="2393"/>
      <c r="O317" s="2393"/>
      <c r="P317" s="2393"/>
      <c r="Q317" s="2393"/>
      <c r="R317" s="2393"/>
      <c r="S317" s="2393"/>
      <c r="T317" s="2393"/>
      <c r="U317" s="2393"/>
      <c r="V317" s="2393"/>
      <c r="W317" s="2393"/>
      <c r="X317" s="2393"/>
      <c r="Y317" s="2393"/>
      <c r="Z317" s="2393"/>
      <c r="AA317" s="2393"/>
      <c r="AB317" s="2393"/>
      <c r="AC317" s="2393"/>
      <c r="AD317" s="2436"/>
      <c r="AE317" s="550"/>
      <c r="AF317" s="550"/>
      <c r="AG317" s="550"/>
      <c r="AH317" s="550"/>
      <c r="AI317" s="550"/>
      <c r="AJ317" s="549"/>
      <c r="AK317" s="549"/>
      <c r="AL317" s="549"/>
      <c r="AM317" s="549"/>
      <c r="AR317" s="644"/>
    </row>
    <row r="318" spans="1:49">
      <c r="A318" s="549"/>
      <c r="B318" s="550"/>
      <c r="C318" s="549"/>
      <c r="D318" s="550"/>
      <c r="E318" s="549"/>
      <c r="F318" s="2435"/>
      <c r="G318" s="2393"/>
      <c r="H318" s="2393"/>
      <c r="I318" s="2393"/>
      <c r="J318" s="2393"/>
      <c r="K318" s="2393"/>
      <c r="L318" s="2393"/>
      <c r="M318" s="2393"/>
      <c r="N318" s="2393"/>
      <c r="O318" s="2393"/>
      <c r="P318" s="2393"/>
      <c r="Q318" s="2393"/>
      <c r="R318" s="2393"/>
      <c r="S318" s="2393"/>
      <c r="T318" s="2393"/>
      <c r="U318" s="2393"/>
      <c r="V318" s="2393"/>
      <c r="W318" s="2393"/>
      <c r="X318" s="2393"/>
      <c r="Y318" s="2393"/>
      <c r="Z318" s="2393"/>
      <c r="AA318" s="2393"/>
      <c r="AB318" s="2393"/>
      <c r="AC318" s="2393"/>
      <c r="AD318" s="243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7"/>
      <c r="G319" s="2438"/>
      <c r="H319" s="2438"/>
      <c r="I319" s="2438"/>
      <c r="J319" s="2438"/>
      <c r="K319" s="2438"/>
      <c r="L319" s="2438"/>
      <c r="M319" s="2438"/>
      <c r="N319" s="2438"/>
      <c r="O319" s="2438"/>
      <c r="P319" s="2438"/>
      <c r="Q319" s="2438"/>
      <c r="R319" s="2438"/>
      <c r="S319" s="2438"/>
      <c r="T319" s="2438"/>
      <c r="U319" s="2438"/>
      <c r="V319" s="2438"/>
      <c r="W319" s="2438"/>
      <c r="X319" s="2438"/>
      <c r="Y319" s="2438"/>
      <c r="Z319" s="2438"/>
      <c r="AA319" s="2438"/>
      <c r="AB319" s="2438"/>
      <c r="AC319" s="2438"/>
      <c r="AD319" s="256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94" t="s">
        <v>1379</v>
      </c>
      <c r="B323" s="1594"/>
      <c r="C323" s="2415" t="s">
        <v>590</v>
      </c>
      <c r="D323" s="2415"/>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5" t="s">
        <v>1985</v>
      </c>
      <c r="G324" s="2393"/>
      <c r="H324" s="2393"/>
      <c r="I324" s="2393"/>
      <c r="J324" s="2393"/>
      <c r="K324" s="2393"/>
      <c r="L324" s="2393"/>
      <c r="M324" s="2393"/>
      <c r="N324" s="2393"/>
      <c r="O324" s="2393"/>
      <c r="P324" s="2393"/>
      <c r="Q324" s="2393"/>
      <c r="R324" s="2393"/>
      <c r="S324" s="2393"/>
      <c r="T324" s="2393"/>
      <c r="U324" s="2393"/>
      <c r="V324" s="2393"/>
      <c r="W324" s="2393"/>
      <c r="X324" s="2393"/>
      <c r="Y324" s="2393"/>
      <c r="Z324" s="2393"/>
      <c r="AA324" s="2393"/>
      <c r="AB324" s="2393"/>
      <c r="AC324" s="2393"/>
      <c r="AD324" s="2436"/>
      <c r="AE324" s="550"/>
      <c r="AF324" s="550"/>
      <c r="AG324" s="539"/>
      <c r="AH324" s="550"/>
      <c r="AI324" s="550"/>
      <c r="AJ324" s="549"/>
      <c r="AK324" s="549"/>
      <c r="AL324" s="549"/>
      <c r="AM324" s="549"/>
      <c r="AN324" s="73"/>
      <c r="AO324" s="14"/>
      <c r="AP324" s="555" t="s">
        <v>1182</v>
      </c>
    </row>
    <row r="325" spans="1:44" hidden="1">
      <c r="F325" s="2435"/>
      <c r="G325" s="2393"/>
      <c r="H325" s="2393"/>
      <c r="I325" s="2393"/>
      <c r="J325" s="2393"/>
      <c r="K325" s="2393"/>
      <c r="L325" s="2393"/>
      <c r="M325" s="2393"/>
      <c r="N325" s="2393"/>
      <c r="O325" s="2393"/>
      <c r="P325" s="2393"/>
      <c r="Q325" s="2393"/>
      <c r="R325" s="2393"/>
      <c r="S325" s="2393"/>
      <c r="T325" s="2393"/>
      <c r="U325" s="2393"/>
      <c r="V325" s="2393"/>
      <c r="W325" s="2393"/>
      <c r="X325" s="2393"/>
      <c r="Y325" s="2393"/>
      <c r="Z325" s="2393"/>
      <c r="AA325" s="2393"/>
      <c r="AB325" s="2393"/>
      <c r="AC325" s="2393"/>
      <c r="AD325" s="2436"/>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3" t="s">
        <v>1182</v>
      </c>
      <c r="G329" s="2544"/>
      <c r="H329" s="2544"/>
      <c r="I329" s="2544"/>
      <c r="J329" s="2544"/>
      <c r="K329" s="2544"/>
      <c r="L329" s="2544"/>
      <c r="M329" s="2544"/>
      <c r="N329" s="2544"/>
      <c r="O329" s="2544"/>
      <c r="P329" s="2544"/>
      <c r="Q329" s="2544"/>
      <c r="R329" s="2544"/>
      <c r="S329" s="2544"/>
      <c r="T329" s="2544"/>
      <c r="U329" s="2544"/>
      <c r="V329" s="2544"/>
      <c r="W329" s="2544"/>
      <c r="X329" s="2544"/>
      <c r="Y329" s="2544"/>
      <c r="Z329" s="2544"/>
      <c r="AA329" s="2544"/>
      <c r="AB329" s="2544"/>
      <c r="AC329" s="2544"/>
      <c r="AD329" s="2545"/>
      <c r="AE329" s="640"/>
      <c r="AF329" s="640"/>
      <c r="AG329" s="640"/>
      <c r="AH329" s="640"/>
      <c r="AI329" s="640"/>
      <c r="AJ329" s="640"/>
      <c r="AK329" s="640"/>
      <c r="AL329" s="549"/>
      <c r="AM329" s="549"/>
      <c r="AN329" s="73"/>
      <c r="AO329" s="14"/>
      <c r="AP329" s="30"/>
    </row>
    <row r="330" spans="1:44" hidden="1">
      <c r="A330" s="549"/>
      <c r="B330" s="550"/>
      <c r="C330" s="726"/>
      <c r="D330" s="726"/>
      <c r="E330" s="546"/>
      <c r="F330" s="2543"/>
      <c r="G330" s="2544"/>
      <c r="H330" s="2544"/>
      <c r="I330" s="2544"/>
      <c r="J330" s="2544"/>
      <c r="K330" s="2544"/>
      <c r="L330" s="2544"/>
      <c r="M330" s="2544"/>
      <c r="N330" s="2544"/>
      <c r="O330" s="2544"/>
      <c r="P330" s="2544"/>
      <c r="Q330" s="2544"/>
      <c r="R330" s="2544"/>
      <c r="S330" s="2544"/>
      <c r="T330" s="2544"/>
      <c r="U330" s="2544"/>
      <c r="V330" s="2544"/>
      <c r="W330" s="2544"/>
      <c r="X330" s="2544"/>
      <c r="Y330" s="2544"/>
      <c r="Z330" s="2544"/>
      <c r="AA330" s="2544"/>
      <c r="AB330" s="2544"/>
      <c r="AC330" s="2544"/>
      <c r="AD330" s="2545"/>
      <c r="AE330" s="550"/>
      <c r="AF330" s="550"/>
      <c r="AG330" s="539"/>
      <c r="AH330" s="550"/>
      <c r="AI330" s="550"/>
      <c r="AJ330" s="549"/>
      <c r="AK330" s="549"/>
      <c r="AL330" s="549"/>
      <c r="AM330" s="549"/>
      <c r="AN330" s="73"/>
      <c r="AO330" s="14"/>
      <c r="AP330" s="30"/>
    </row>
    <row r="331" spans="1:44" hidden="1">
      <c r="A331" s="549"/>
      <c r="B331" s="550"/>
      <c r="C331" s="726"/>
      <c r="D331" s="726"/>
      <c r="E331" s="546"/>
      <c r="F331" s="2543"/>
      <c r="G331" s="2544"/>
      <c r="H331" s="2544"/>
      <c r="I331" s="2544"/>
      <c r="J331" s="2544"/>
      <c r="K331" s="2544"/>
      <c r="L331" s="2544"/>
      <c r="M331" s="2544"/>
      <c r="N331" s="2544"/>
      <c r="O331" s="2544"/>
      <c r="P331" s="2544"/>
      <c r="Q331" s="2544"/>
      <c r="R331" s="2544"/>
      <c r="S331" s="2544"/>
      <c r="T331" s="2544"/>
      <c r="U331" s="2544"/>
      <c r="V331" s="2544"/>
      <c r="W331" s="2544"/>
      <c r="X331" s="2544"/>
      <c r="Y331" s="2544"/>
      <c r="Z331" s="2544"/>
      <c r="AA331" s="2544"/>
      <c r="AB331" s="2544"/>
      <c r="AC331" s="2544"/>
      <c r="AD331" s="2545"/>
      <c r="AE331" s="550"/>
      <c r="AF331" s="550"/>
      <c r="AG331" s="539"/>
      <c r="AH331" s="550"/>
      <c r="AI331" s="550"/>
      <c r="AJ331" s="549"/>
      <c r="AK331" s="549"/>
      <c r="AL331" s="549"/>
      <c r="AM331" s="549"/>
      <c r="AN331" s="73"/>
      <c r="AO331" s="14"/>
      <c r="AP331" s="30"/>
    </row>
    <row r="332" spans="1:44" hidden="1">
      <c r="A332" s="549"/>
      <c r="B332" s="550"/>
      <c r="C332" s="726"/>
      <c r="D332" s="726"/>
      <c r="E332" s="546"/>
      <c r="F332" s="2543"/>
      <c r="G332" s="2544"/>
      <c r="H332" s="2544"/>
      <c r="I332" s="2544"/>
      <c r="J332" s="2544"/>
      <c r="K332" s="2544"/>
      <c r="L332" s="2544"/>
      <c r="M332" s="2544"/>
      <c r="N332" s="2544"/>
      <c r="O332" s="2544"/>
      <c r="P332" s="2544"/>
      <c r="Q332" s="2544"/>
      <c r="R332" s="2544"/>
      <c r="S332" s="2544"/>
      <c r="T332" s="2544"/>
      <c r="U332" s="2544"/>
      <c r="V332" s="2544"/>
      <c r="W332" s="2544"/>
      <c r="X332" s="2544"/>
      <c r="Y332" s="2544"/>
      <c r="Z332" s="2544"/>
      <c r="AA332" s="2544"/>
      <c r="AB332" s="2544"/>
      <c r="AC332" s="2544"/>
      <c r="AD332" s="2545"/>
      <c r="AE332" s="550"/>
      <c r="AF332" s="550"/>
      <c r="AG332" s="539"/>
      <c r="AH332" s="550"/>
      <c r="AI332" s="550"/>
      <c r="AJ332" s="549"/>
      <c r="AK332" s="549"/>
      <c r="AL332" s="549"/>
      <c r="AM332" s="549"/>
      <c r="AN332" s="73"/>
      <c r="AO332" s="14"/>
      <c r="AP332" s="30"/>
    </row>
    <row r="333" spans="1:44" hidden="1">
      <c r="A333" s="549"/>
      <c r="B333" s="550"/>
      <c r="C333" s="726"/>
      <c r="D333" s="726"/>
      <c r="E333" s="546"/>
      <c r="F333" s="2546"/>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49" t="s">
        <v>1182</v>
      </c>
      <c r="J337" s="2549"/>
      <c r="K337" s="2549"/>
      <c r="L337" s="2549"/>
      <c r="M337" s="2549"/>
      <c r="N337" s="2549"/>
      <c r="O337" s="2549"/>
      <c r="P337" s="2549"/>
      <c r="Q337" s="2549"/>
      <c r="R337" s="2549"/>
      <c r="S337" s="2549"/>
      <c r="T337" s="2549"/>
      <c r="U337" s="2549"/>
      <c r="V337" s="2549"/>
      <c r="W337" s="2549"/>
      <c r="X337" s="2549"/>
      <c r="Y337" s="2549"/>
      <c r="Z337" s="2549"/>
      <c r="AA337" s="2549"/>
      <c r="AB337" s="2549"/>
      <c r="AC337" s="2549"/>
      <c r="AD337" s="2550"/>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9"/>
      <c r="J338" s="2549"/>
      <c r="K338" s="2549"/>
      <c r="L338" s="2549"/>
      <c r="M338" s="2549"/>
      <c r="N338" s="2549"/>
      <c r="O338" s="2549"/>
      <c r="P338" s="2549"/>
      <c r="Q338" s="2549"/>
      <c r="R338" s="2549"/>
      <c r="S338" s="2549"/>
      <c r="T338" s="2549"/>
      <c r="U338" s="2549"/>
      <c r="V338" s="2549"/>
      <c r="W338" s="2549"/>
      <c r="X338" s="2549"/>
      <c r="Y338" s="2549"/>
      <c r="Z338" s="2549"/>
      <c r="AA338" s="2549"/>
      <c r="AB338" s="2549"/>
      <c r="AC338" s="2549"/>
      <c r="AD338" s="2550"/>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49"/>
      <c r="J339" s="2549"/>
      <c r="K339" s="2549"/>
      <c r="L339" s="2549"/>
      <c r="M339" s="2549"/>
      <c r="N339" s="2549"/>
      <c r="O339" s="2549"/>
      <c r="P339" s="2549"/>
      <c r="Q339" s="2549"/>
      <c r="R339" s="2549"/>
      <c r="S339" s="2549"/>
      <c r="T339" s="2549"/>
      <c r="U339" s="2549"/>
      <c r="V339" s="2549"/>
      <c r="W339" s="2549"/>
      <c r="X339" s="2549"/>
      <c r="Y339" s="2549"/>
      <c r="Z339" s="2549"/>
      <c r="AA339" s="2549"/>
      <c r="AB339" s="2549"/>
      <c r="AC339" s="2549"/>
      <c r="AD339" s="2550"/>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51"/>
      <c r="J340" s="2551"/>
      <c r="K340" s="2551"/>
      <c r="L340" s="2551"/>
      <c r="M340" s="2551"/>
      <c r="N340" s="2551"/>
      <c r="O340" s="2551"/>
      <c r="P340" s="2551"/>
      <c r="Q340" s="2551"/>
      <c r="R340" s="2551"/>
      <c r="S340" s="2551"/>
      <c r="T340" s="2551"/>
      <c r="U340" s="2551"/>
      <c r="V340" s="2551"/>
      <c r="W340" s="2551"/>
      <c r="X340" s="2551"/>
      <c r="Y340" s="2551"/>
      <c r="Z340" s="2551"/>
      <c r="AA340" s="2551"/>
      <c r="AB340" s="2551"/>
      <c r="AC340" s="2551"/>
      <c r="AD340" s="2552"/>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9" t="s">
        <v>1182</v>
      </c>
      <c r="J342" s="2549"/>
      <c r="K342" s="2549"/>
      <c r="L342" s="2549"/>
      <c r="M342" s="2549"/>
      <c r="N342" s="2549"/>
      <c r="O342" s="2549"/>
      <c r="P342" s="2549"/>
      <c r="Q342" s="2549"/>
      <c r="R342" s="2549"/>
      <c r="S342" s="2549"/>
      <c r="T342" s="2549"/>
      <c r="U342" s="2549"/>
      <c r="V342" s="2549"/>
      <c r="W342" s="2549"/>
      <c r="X342" s="2549"/>
      <c r="Y342" s="2549"/>
      <c r="Z342" s="2549"/>
      <c r="AA342" s="2549"/>
      <c r="AB342" s="2549"/>
      <c r="AC342" s="2549"/>
      <c r="AD342" s="255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9"/>
      <c r="J343" s="2549"/>
      <c r="K343" s="2549"/>
      <c r="L343" s="2549"/>
      <c r="M343" s="2549"/>
      <c r="N343" s="2549"/>
      <c r="O343" s="2549"/>
      <c r="P343" s="2549"/>
      <c r="Q343" s="2549"/>
      <c r="R343" s="2549"/>
      <c r="S343" s="2549"/>
      <c r="T343" s="2549"/>
      <c r="U343" s="2549"/>
      <c r="V343" s="2549"/>
      <c r="W343" s="2549"/>
      <c r="X343" s="2549"/>
      <c r="Y343" s="2549"/>
      <c r="Z343" s="2549"/>
      <c r="AA343" s="2549"/>
      <c r="AB343" s="2549"/>
      <c r="AC343" s="2549"/>
      <c r="AD343" s="2550"/>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51"/>
      <c r="J344" s="2551"/>
      <c r="K344" s="2551"/>
      <c r="L344" s="2551"/>
      <c r="M344" s="2551"/>
      <c r="N344" s="2551"/>
      <c r="O344" s="2551"/>
      <c r="P344" s="2551"/>
      <c r="Q344" s="2551"/>
      <c r="R344" s="2551"/>
      <c r="S344" s="2551"/>
      <c r="T344" s="2551"/>
      <c r="U344" s="2551"/>
      <c r="V344" s="2551"/>
      <c r="W344" s="2551"/>
      <c r="X344" s="2551"/>
      <c r="Y344" s="2551"/>
      <c r="Z344" s="2551"/>
      <c r="AA344" s="2551"/>
      <c r="AB344" s="2551"/>
      <c r="AC344" s="2551"/>
      <c r="AD344" s="2552"/>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94" t="s">
        <v>1382</v>
      </c>
      <c r="B346" s="1594"/>
      <c r="C346" s="2415" t="s">
        <v>590</v>
      </c>
      <c r="D346" s="2415"/>
      <c r="E346" s="546"/>
      <c r="F346" s="2456" t="s">
        <v>1986</v>
      </c>
      <c r="G346" s="2457"/>
      <c r="H346" s="2457"/>
      <c r="I346" s="2457"/>
      <c r="J346" s="2457"/>
      <c r="K346" s="2457"/>
      <c r="L346" s="2457"/>
      <c r="M346" s="2457"/>
      <c r="N346" s="2457"/>
      <c r="O346" s="2457"/>
      <c r="P346" s="2457"/>
      <c r="Q346" s="2457"/>
      <c r="R346" s="2457"/>
      <c r="S346" s="2457"/>
      <c r="T346" s="2457"/>
      <c r="U346" s="2457"/>
      <c r="V346" s="2457"/>
      <c r="W346" s="2457"/>
      <c r="X346" s="2457"/>
      <c r="Y346" s="2457"/>
      <c r="Z346" s="2457"/>
      <c r="AA346" s="2457"/>
      <c r="AB346" s="2457"/>
      <c r="AC346" s="2457"/>
      <c r="AD346" s="2458"/>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9"/>
      <c r="G347" s="2460"/>
      <c r="H347" s="2460"/>
      <c r="I347" s="2460"/>
      <c r="J347" s="2460"/>
      <c r="K347" s="2460"/>
      <c r="L347" s="2460"/>
      <c r="M347" s="2460"/>
      <c r="N347" s="2460"/>
      <c r="O347" s="2460"/>
      <c r="P347" s="2460"/>
      <c r="Q347" s="2460"/>
      <c r="R347" s="2460"/>
      <c r="S347" s="2460"/>
      <c r="T347" s="2460"/>
      <c r="U347" s="2460"/>
      <c r="V347" s="2460"/>
      <c r="W347" s="2460"/>
      <c r="X347" s="2460"/>
      <c r="Y347" s="2460"/>
      <c r="Z347" s="2460"/>
      <c r="AA347" s="2460"/>
      <c r="AB347" s="2460"/>
      <c r="AC347" s="2460"/>
      <c r="AD347" s="2461"/>
      <c r="AE347" s="550"/>
      <c r="AF347" s="550"/>
      <c r="AG347" s="550"/>
      <c r="AH347" s="550"/>
      <c r="AI347" s="550"/>
      <c r="AJ347" s="549"/>
      <c r="AK347" s="549"/>
      <c r="AL347" s="549"/>
      <c r="AM347" s="549"/>
      <c r="AN347" s="73"/>
      <c r="AO347" s="14"/>
    </row>
    <row r="348" spans="1:42" ht="15" hidden="1" customHeight="1">
      <c r="A348" s="549"/>
      <c r="B348" s="550"/>
      <c r="C348" s="550"/>
      <c r="D348" s="550"/>
      <c r="E348" s="550"/>
      <c r="F348" s="2459"/>
      <c r="G348" s="2460"/>
      <c r="H348" s="2460"/>
      <c r="I348" s="2460"/>
      <c r="J348" s="2460"/>
      <c r="K348" s="2460"/>
      <c r="L348" s="2460"/>
      <c r="M348" s="2460"/>
      <c r="N348" s="2460"/>
      <c r="O348" s="2460"/>
      <c r="P348" s="2460"/>
      <c r="Q348" s="2460"/>
      <c r="R348" s="2460"/>
      <c r="S348" s="2460"/>
      <c r="T348" s="2460"/>
      <c r="U348" s="2460"/>
      <c r="V348" s="2460"/>
      <c r="W348" s="2460"/>
      <c r="X348" s="2460"/>
      <c r="Y348" s="2460"/>
      <c r="Z348" s="2460"/>
      <c r="AA348" s="2460"/>
      <c r="AB348" s="2460"/>
      <c r="AC348" s="2460"/>
      <c r="AD348" s="2461"/>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96">
        <f>IF(NOT(OR(Application!M364="Yes",Application!M365="Yes")),0,AP308)</f>
        <v>10</v>
      </c>
      <c r="AL351" s="2442"/>
      <c r="AM351" s="239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53" t="s">
        <v>1306</v>
      </c>
      <c r="AF354" s="2453"/>
      <c r="AG354" s="2453"/>
      <c r="AH354" s="2453"/>
      <c r="AI354" s="2453"/>
      <c r="AJ354" s="2453"/>
      <c r="AK354" s="245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4" t="s">
        <v>1443</v>
      </c>
      <c r="D356" s="2464"/>
      <c r="E356" s="2464"/>
      <c r="F356" s="2464"/>
      <c r="G356" s="2464"/>
      <c r="H356" s="2464"/>
      <c r="I356" s="2464"/>
      <c r="J356" s="2464"/>
      <c r="K356" s="2464"/>
      <c r="L356" s="2464"/>
      <c r="M356" s="2464"/>
      <c r="N356" s="2464"/>
      <c r="O356" s="2464"/>
      <c r="P356" s="2464"/>
      <c r="Q356" s="2464"/>
      <c r="R356" s="2464"/>
      <c r="S356" s="2464"/>
      <c r="T356" s="2464"/>
      <c r="U356" s="2464"/>
      <c r="V356" s="2464"/>
      <c r="W356" s="2464"/>
      <c r="X356" s="2464"/>
      <c r="Y356" s="2464"/>
      <c r="Z356" s="2464"/>
      <c r="AA356" s="2464"/>
      <c r="AB356" s="2464"/>
      <c r="AC356" s="2464"/>
      <c r="AD356" s="2464"/>
      <c r="AE356" s="2464"/>
      <c r="AF356" s="2464"/>
      <c r="AG356" s="2464"/>
      <c r="AH356" s="2464"/>
      <c r="AI356" s="2464"/>
      <c r="AJ356" s="2464"/>
      <c r="AK356" s="601"/>
      <c r="AL356" s="601"/>
      <c r="AM356" s="601"/>
      <c r="AN356" s="595"/>
    </row>
    <row r="357" spans="1:44" s="549" customFormat="1" ht="12.75" customHeight="1">
      <c r="A357" s="601"/>
      <c r="B357" s="609"/>
      <c r="C357" s="2464"/>
      <c r="D357" s="2464"/>
      <c r="E357" s="2464"/>
      <c r="F357" s="2464"/>
      <c r="G357" s="2464"/>
      <c r="H357" s="2464"/>
      <c r="I357" s="2464"/>
      <c r="J357" s="2464"/>
      <c r="K357" s="2464"/>
      <c r="L357" s="2464"/>
      <c r="M357" s="2464"/>
      <c r="N357" s="2464"/>
      <c r="O357" s="2464"/>
      <c r="P357" s="2464"/>
      <c r="Q357" s="2464"/>
      <c r="R357" s="2464"/>
      <c r="S357" s="2464"/>
      <c r="T357" s="2464"/>
      <c r="U357" s="2464"/>
      <c r="V357" s="2464"/>
      <c r="W357" s="2464"/>
      <c r="X357" s="2464"/>
      <c r="Y357" s="2464"/>
      <c r="Z357" s="2464"/>
      <c r="AA357" s="2464"/>
      <c r="AB357" s="2464"/>
      <c r="AC357" s="2464"/>
      <c r="AD357" s="2464"/>
      <c r="AE357" s="2464"/>
      <c r="AF357" s="2464"/>
      <c r="AG357" s="2464"/>
      <c r="AH357" s="2464"/>
      <c r="AI357" s="2464"/>
      <c r="AJ357" s="2464"/>
      <c r="AK357" s="601"/>
      <c r="AL357" s="601"/>
      <c r="AM357" s="601"/>
      <c r="AN357" s="595"/>
    </row>
    <row r="358" spans="1:44" s="549" customFormat="1" ht="12.75" customHeight="1">
      <c r="A358" s="601"/>
      <c r="B358" s="609"/>
      <c r="C358" s="2464"/>
      <c r="D358" s="2464"/>
      <c r="E358" s="2464"/>
      <c r="F358" s="2464"/>
      <c r="G358" s="2464"/>
      <c r="H358" s="2464"/>
      <c r="I358" s="2464"/>
      <c r="J358" s="2464"/>
      <c r="K358" s="2464"/>
      <c r="L358" s="2464"/>
      <c r="M358" s="2464"/>
      <c r="N358" s="2464"/>
      <c r="O358" s="2464"/>
      <c r="P358" s="2464"/>
      <c r="Q358" s="2464"/>
      <c r="R358" s="2464"/>
      <c r="S358" s="2464"/>
      <c r="T358" s="2464"/>
      <c r="U358" s="2464"/>
      <c r="V358" s="2464"/>
      <c r="W358" s="2464"/>
      <c r="X358" s="2464"/>
      <c r="Y358" s="2464"/>
      <c r="Z358" s="2464"/>
      <c r="AA358" s="2464"/>
      <c r="AB358" s="2464"/>
      <c r="AC358" s="2464"/>
      <c r="AD358" s="2464"/>
      <c r="AE358" s="2464"/>
      <c r="AF358" s="2464"/>
      <c r="AG358" s="2464"/>
      <c r="AH358" s="2464"/>
      <c r="AI358" s="2464"/>
      <c r="AJ358" s="2464"/>
      <c r="AK358" s="601"/>
      <c r="AL358" s="601"/>
      <c r="AM358" s="601"/>
      <c r="AN358" s="595"/>
      <c r="AQ358" s="568"/>
    </row>
    <row r="359" spans="1:44" s="549" customFormat="1" ht="12.75" customHeight="1">
      <c r="A359" s="601"/>
      <c r="B359" s="609"/>
      <c r="C359" s="2464"/>
      <c r="D359" s="2464"/>
      <c r="E359" s="2464"/>
      <c r="F359" s="2464"/>
      <c r="G359" s="2464"/>
      <c r="H359" s="2464"/>
      <c r="I359" s="2464"/>
      <c r="J359" s="2464"/>
      <c r="K359" s="2464"/>
      <c r="L359" s="2464"/>
      <c r="M359" s="2464"/>
      <c r="N359" s="2464"/>
      <c r="O359" s="2464"/>
      <c r="P359" s="2464"/>
      <c r="Q359" s="2464"/>
      <c r="R359" s="2464"/>
      <c r="S359" s="2464"/>
      <c r="T359" s="2464"/>
      <c r="U359" s="2464"/>
      <c r="V359" s="2464"/>
      <c r="W359" s="2464"/>
      <c r="X359" s="2464"/>
      <c r="Y359" s="2464"/>
      <c r="Z359" s="2464"/>
      <c r="AA359" s="2464"/>
      <c r="AB359" s="2464"/>
      <c r="AC359" s="2464"/>
      <c r="AD359" s="2464"/>
      <c r="AE359" s="2464"/>
      <c r="AF359" s="2464"/>
      <c r="AG359" s="2464"/>
      <c r="AH359" s="2464"/>
      <c r="AI359" s="2464"/>
      <c r="AJ359" s="2464"/>
      <c r="AK359" s="601"/>
      <c r="AL359" s="601"/>
      <c r="AM359" s="601"/>
      <c r="AN359" s="595"/>
      <c r="AQ359" s="568"/>
    </row>
    <row r="360" spans="1:44" s="549" customFormat="1" ht="12.4" customHeight="1">
      <c r="A360" s="601"/>
      <c r="B360" s="609"/>
      <c r="C360" s="2464"/>
      <c r="D360" s="2464"/>
      <c r="E360" s="2464"/>
      <c r="F360" s="2464"/>
      <c r="G360" s="2464"/>
      <c r="H360" s="2464"/>
      <c r="I360" s="2464"/>
      <c r="J360" s="2464"/>
      <c r="K360" s="2464"/>
      <c r="L360" s="2464"/>
      <c r="M360" s="2464"/>
      <c r="N360" s="2464"/>
      <c r="O360" s="2464"/>
      <c r="P360" s="2464"/>
      <c r="Q360" s="2464"/>
      <c r="R360" s="2464"/>
      <c r="S360" s="2464"/>
      <c r="T360" s="2464"/>
      <c r="U360" s="2464"/>
      <c r="V360" s="2464"/>
      <c r="W360" s="2464"/>
      <c r="X360" s="2464"/>
      <c r="Y360" s="2464"/>
      <c r="Z360" s="2464"/>
      <c r="AA360" s="2464"/>
      <c r="AB360" s="2464"/>
      <c r="AC360" s="2464"/>
      <c r="AD360" s="2464"/>
      <c r="AE360" s="2464"/>
      <c r="AF360" s="2464"/>
      <c r="AG360" s="2464"/>
      <c r="AH360" s="2464"/>
      <c r="AI360" s="2464"/>
      <c r="AJ360" s="2464"/>
      <c r="AK360" s="601"/>
      <c r="AL360" s="601"/>
      <c r="AM360" s="601"/>
      <c r="AN360" s="595"/>
      <c r="AQ360" s="568"/>
      <c r="AR360" s="568"/>
    </row>
    <row r="361" spans="1:44" s="549" customFormat="1" ht="45.75" customHeight="1">
      <c r="A361" s="601"/>
      <c r="B361" s="609"/>
      <c r="C361" s="2464" t="s">
        <v>2045</v>
      </c>
      <c r="D361" s="2464"/>
      <c r="E361" s="2464"/>
      <c r="F361" s="2464"/>
      <c r="G361" s="2464"/>
      <c r="H361" s="2464"/>
      <c r="I361" s="2464"/>
      <c r="J361" s="2464"/>
      <c r="K361" s="2464"/>
      <c r="L361" s="2464"/>
      <c r="M361" s="2464"/>
      <c r="N361" s="2464"/>
      <c r="O361" s="2464"/>
      <c r="P361" s="2464"/>
      <c r="Q361" s="2464"/>
      <c r="R361" s="2464"/>
      <c r="S361" s="2464"/>
      <c r="T361" s="2464"/>
      <c r="U361" s="2464"/>
      <c r="V361" s="2464"/>
      <c r="W361" s="2464"/>
      <c r="X361" s="2464"/>
      <c r="Y361" s="2464"/>
      <c r="Z361" s="2464"/>
      <c r="AA361" s="2464"/>
      <c r="AB361" s="2464"/>
      <c r="AC361" s="2464"/>
      <c r="AD361" s="2464"/>
      <c r="AE361" s="2464"/>
      <c r="AF361" s="2464"/>
      <c r="AG361" s="2464"/>
      <c r="AH361" s="2464"/>
      <c r="AI361" s="2464"/>
      <c r="AJ361" s="2464"/>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4" t="s">
        <v>2159</v>
      </c>
      <c r="D363" s="2464"/>
      <c r="E363" s="2464"/>
      <c r="F363" s="2464"/>
      <c r="G363" s="2464"/>
      <c r="H363" s="2464"/>
      <c r="I363" s="2464"/>
      <c r="J363" s="2464"/>
      <c r="K363" s="2464"/>
      <c r="L363" s="2464"/>
      <c r="M363" s="2464"/>
      <c r="N363" s="2464"/>
      <c r="O363" s="2464"/>
      <c r="P363" s="2464"/>
      <c r="Q363" s="2464"/>
      <c r="R363" s="2464"/>
      <c r="S363" s="2464"/>
      <c r="T363" s="2464"/>
      <c r="U363" s="2464"/>
      <c r="V363" s="2464"/>
      <c r="W363" s="2464"/>
      <c r="X363" s="2464"/>
      <c r="Y363" s="2464"/>
      <c r="Z363" s="2464"/>
      <c r="AA363" s="2464"/>
      <c r="AB363" s="2464"/>
      <c r="AC363" s="2464"/>
      <c r="AD363" s="2464"/>
      <c r="AE363" s="2464"/>
      <c r="AF363" s="2464"/>
      <c r="AG363" s="2464"/>
      <c r="AH363" s="2464"/>
      <c r="AI363" s="2464"/>
      <c r="AJ363" s="2464"/>
      <c r="AK363" s="601"/>
      <c r="AL363" s="601"/>
      <c r="AM363" s="601"/>
      <c r="AN363" s="595"/>
      <c r="AQ363" s="568"/>
      <c r="AR363" s="568"/>
    </row>
    <row r="364" spans="1:44" s="549" customFormat="1" ht="30" customHeight="1">
      <c r="A364" s="601"/>
      <c r="B364" s="609"/>
      <c r="C364" s="2464"/>
      <c r="D364" s="2464"/>
      <c r="E364" s="2464"/>
      <c r="F364" s="2464"/>
      <c r="G364" s="2464"/>
      <c r="H364" s="2464"/>
      <c r="I364" s="2464"/>
      <c r="J364" s="2464"/>
      <c r="K364" s="2464"/>
      <c r="L364" s="2464"/>
      <c r="M364" s="2464"/>
      <c r="N364" s="2464"/>
      <c r="O364" s="2464"/>
      <c r="P364" s="2464"/>
      <c r="Q364" s="2464"/>
      <c r="R364" s="2464"/>
      <c r="S364" s="2464"/>
      <c r="T364" s="2464"/>
      <c r="U364" s="2464"/>
      <c r="V364" s="2464"/>
      <c r="W364" s="2464"/>
      <c r="X364" s="2464"/>
      <c r="Y364" s="2464"/>
      <c r="Z364" s="2464"/>
      <c r="AA364" s="2464"/>
      <c r="AB364" s="2464"/>
      <c r="AC364" s="2464"/>
      <c r="AD364" s="2464"/>
      <c r="AE364" s="2464"/>
      <c r="AF364" s="2464"/>
      <c r="AG364" s="2464"/>
      <c r="AH364" s="2464"/>
      <c r="AI364" s="2464"/>
      <c r="AJ364" s="2464"/>
      <c r="AK364" s="601"/>
      <c r="AL364" s="601"/>
      <c r="AM364" s="601"/>
      <c r="AN364" s="595"/>
      <c r="AR364" s="568"/>
    </row>
    <row r="365" spans="1:44" s="549" customFormat="1" ht="12.75" customHeight="1">
      <c r="A365" s="601"/>
      <c r="B365" s="609"/>
      <c r="C365" s="2464"/>
      <c r="D365" s="2464"/>
      <c r="E365" s="2464"/>
      <c r="F365" s="2464"/>
      <c r="G365" s="2464"/>
      <c r="H365" s="2464"/>
      <c r="I365" s="2464"/>
      <c r="J365" s="2464"/>
      <c r="K365" s="2464"/>
      <c r="L365" s="2464"/>
      <c r="M365" s="2464"/>
      <c r="N365" s="2464"/>
      <c r="O365" s="2464"/>
      <c r="P365" s="2464"/>
      <c r="Q365" s="2464"/>
      <c r="R365" s="2464"/>
      <c r="S365" s="2464"/>
      <c r="T365" s="2464"/>
      <c r="U365" s="2464"/>
      <c r="V365" s="2464"/>
      <c r="W365" s="2464"/>
      <c r="X365" s="2464"/>
      <c r="Y365" s="2464"/>
      <c r="Z365" s="2464"/>
      <c r="AA365" s="2464"/>
      <c r="AB365" s="2464"/>
      <c r="AC365" s="2464"/>
      <c r="AD365" s="2464"/>
      <c r="AE365" s="2464"/>
      <c r="AF365" s="2464"/>
      <c r="AG365" s="2464"/>
      <c r="AH365" s="2464"/>
      <c r="AI365" s="2464"/>
      <c r="AJ365" s="2464"/>
      <c r="AK365" s="601"/>
      <c r="AL365" s="601"/>
      <c r="AM365" s="601"/>
      <c r="AN365" s="595"/>
      <c r="AR365" s="568"/>
    </row>
    <row r="366" spans="1:44" s="549" customFormat="1" ht="12.75" customHeight="1">
      <c r="A366" s="601"/>
      <c r="B366" s="609"/>
      <c r="C366" s="2464" t="s">
        <v>1444</v>
      </c>
      <c r="D366" s="2464"/>
      <c r="E366" s="2464"/>
      <c r="F366" s="2464"/>
      <c r="G366" s="2464"/>
      <c r="H366" s="2464"/>
      <c r="I366" s="2464"/>
      <c r="J366" s="2464"/>
      <c r="K366" s="2464"/>
      <c r="L366" s="2464"/>
      <c r="M366" s="2464"/>
      <c r="N366" s="2464"/>
      <c r="O366" s="2464"/>
      <c r="P366" s="2464"/>
      <c r="Q366" s="2464"/>
      <c r="R366" s="2464"/>
      <c r="S366" s="2464"/>
      <c r="T366" s="2464"/>
      <c r="U366" s="2464"/>
      <c r="V366" s="2464"/>
      <c r="W366" s="2464"/>
      <c r="X366" s="2464"/>
      <c r="Y366" s="2464"/>
      <c r="Z366" s="2464"/>
      <c r="AA366" s="2464"/>
      <c r="AB366" s="2464"/>
      <c r="AC366" s="2464"/>
      <c r="AD366" s="2464"/>
      <c r="AE366" s="2464"/>
      <c r="AF366" s="2464"/>
      <c r="AG366" s="2464"/>
      <c r="AH366" s="2464"/>
      <c r="AI366" s="2464"/>
      <c r="AJ366" s="2464"/>
      <c r="AK366" s="601"/>
      <c r="AL366" s="601"/>
      <c r="AM366" s="601"/>
      <c r="AN366" s="595"/>
      <c r="AQ366" s="568"/>
      <c r="AR366" s="568"/>
    </row>
    <row r="367" spans="1:44" s="549" customFormat="1" ht="12.75" customHeight="1">
      <c r="A367" s="601"/>
      <c r="B367" s="609"/>
      <c r="C367" s="2464"/>
      <c r="D367" s="2464"/>
      <c r="E367" s="2464"/>
      <c r="F367" s="2464"/>
      <c r="G367" s="2464"/>
      <c r="H367" s="2464"/>
      <c r="I367" s="2464"/>
      <c r="J367" s="2464"/>
      <c r="K367" s="2464"/>
      <c r="L367" s="2464"/>
      <c r="M367" s="2464"/>
      <c r="N367" s="2464"/>
      <c r="O367" s="2464"/>
      <c r="P367" s="2464"/>
      <c r="Q367" s="2464"/>
      <c r="R367" s="2464"/>
      <c r="S367" s="2464"/>
      <c r="T367" s="2464"/>
      <c r="U367" s="2464"/>
      <c r="V367" s="2464"/>
      <c r="W367" s="2464"/>
      <c r="X367" s="2464"/>
      <c r="Y367" s="2464"/>
      <c r="Z367" s="2464"/>
      <c r="AA367" s="2464"/>
      <c r="AB367" s="2464"/>
      <c r="AC367" s="2464"/>
      <c r="AD367" s="2464"/>
      <c r="AE367" s="2464"/>
      <c r="AF367" s="2464"/>
      <c r="AG367" s="2464"/>
      <c r="AH367" s="2464"/>
      <c r="AI367" s="2464"/>
      <c r="AJ367" s="2464"/>
      <c r="AK367" s="601"/>
      <c r="AL367" s="601"/>
      <c r="AM367" s="601"/>
      <c r="AN367" s="595"/>
      <c r="AQ367" s="568"/>
      <c r="AR367" s="568"/>
    </row>
    <row r="368" spans="1:44" s="549" customFormat="1" ht="13.15" customHeight="1">
      <c r="A368" s="601"/>
      <c r="B368" s="609"/>
      <c r="C368" s="2464"/>
      <c r="D368" s="2464"/>
      <c r="E368" s="2464"/>
      <c r="F368" s="2464"/>
      <c r="G368" s="2464"/>
      <c r="H368" s="2464"/>
      <c r="I368" s="2464"/>
      <c r="J368" s="2464"/>
      <c r="K368" s="2464"/>
      <c r="L368" s="2464"/>
      <c r="M368" s="2464"/>
      <c r="N368" s="2464"/>
      <c r="O368" s="2464"/>
      <c r="P368" s="2464"/>
      <c r="Q368" s="2464"/>
      <c r="R368" s="2464"/>
      <c r="S368" s="2464"/>
      <c r="T368" s="2464"/>
      <c r="U368" s="2464"/>
      <c r="V368" s="2464"/>
      <c r="W368" s="2464"/>
      <c r="X368" s="2464"/>
      <c r="Y368" s="2464"/>
      <c r="Z368" s="2464"/>
      <c r="AA368" s="2464"/>
      <c r="AB368" s="2464"/>
      <c r="AC368" s="2464"/>
      <c r="AD368" s="2464"/>
      <c r="AE368" s="2464"/>
      <c r="AF368" s="2464"/>
      <c r="AG368" s="2464"/>
      <c r="AH368" s="2464"/>
      <c r="AI368" s="2464"/>
      <c r="AJ368" s="2464"/>
      <c r="AK368" s="601"/>
      <c r="AL368" s="601"/>
      <c r="AM368" s="601"/>
      <c r="AN368" s="595"/>
      <c r="AQ368" s="568"/>
      <c r="AR368" s="568"/>
    </row>
    <row r="369" spans="1:46" s="549" customFormat="1" ht="12.75" customHeight="1">
      <c r="A369" s="601"/>
      <c r="B369" s="609"/>
      <c r="C369" s="2464"/>
      <c r="D369" s="2464"/>
      <c r="E369" s="2464"/>
      <c r="F369" s="2464"/>
      <c r="G369" s="2464"/>
      <c r="H369" s="2464"/>
      <c r="I369" s="2464"/>
      <c r="J369" s="2464"/>
      <c r="K369" s="2464"/>
      <c r="L369" s="2464"/>
      <c r="M369" s="2464"/>
      <c r="N369" s="2464"/>
      <c r="O369" s="2464"/>
      <c r="P369" s="2464"/>
      <c r="Q369" s="2464"/>
      <c r="R369" s="2464"/>
      <c r="S369" s="2464"/>
      <c r="T369" s="2464"/>
      <c r="U369" s="2464"/>
      <c r="V369" s="2464"/>
      <c r="W369" s="2464"/>
      <c r="X369" s="2464"/>
      <c r="Y369" s="2464"/>
      <c r="Z369" s="2464"/>
      <c r="AA369" s="2464"/>
      <c r="AB369" s="2464"/>
      <c r="AC369" s="2464"/>
      <c r="AD369" s="2464"/>
      <c r="AE369" s="2464"/>
      <c r="AF369" s="2464"/>
      <c r="AG369" s="2464"/>
      <c r="AH369" s="2464"/>
      <c r="AI369" s="2464"/>
      <c r="AJ369" s="2464"/>
      <c r="AK369" s="601"/>
      <c r="AL369" s="601"/>
      <c r="AM369" s="601"/>
      <c r="AN369" s="595"/>
      <c r="AO369" s="690"/>
      <c r="AP369" s="690"/>
      <c r="AQ369" s="568"/>
    </row>
    <row r="370" spans="1:46" s="549" customFormat="1" ht="11.85" customHeight="1">
      <c r="A370" s="601"/>
      <c r="B370" s="609"/>
      <c r="C370" s="2464"/>
      <c r="D370" s="2464"/>
      <c r="E370" s="2464"/>
      <c r="F370" s="2464"/>
      <c r="G370" s="2464"/>
      <c r="H370" s="2464"/>
      <c r="I370" s="2464"/>
      <c r="J370" s="2464"/>
      <c r="K370" s="2464"/>
      <c r="L370" s="2464"/>
      <c r="M370" s="2464"/>
      <c r="N370" s="2464"/>
      <c r="O370" s="2464"/>
      <c r="P370" s="2464"/>
      <c r="Q370" s="2464"/>
      <c r="R370" s="2464"/>
      <c r="S370" s="2464"/>
      <c r="T370" s="2464"/>
      <c r="U370" s="2464"/>
      <c r="V370" s="2464"/>
      <c r="W370" s="2464"/>
      <c r="X370" s="2464"/>
      <c r="Y370" s="2464"/>
      <c r="Z370" s="2464"/>
      <c r="AA370" s="2464"/>
      <c r="AB370" s="2464"/>
      <c r="AC370" s="2464"/>
      <c r="AD370" s="2464"/>
      <c r="AE370" s="2464"/>
      <c r="AF370" s="2464"/>
      <c r="AG370" s="2464"/>
      <c r="AH370" s="2464"/>
      <c r="AI370" s="2464"/>
      <c r="AJ370" s="2464"/>
      <c r="AK370" s="601"/>
      <c r="AL370" s="601"/>
      <c r="AM370" s="601"/>
      <c r="AN370" s="595"/>
      <c r="AO370" s="691" t="s">
        <v>112</v>
      </c>
      <c r="AP370" s="692">
        <f>IF(C394="Yes",5,0)</f>
        <v>0</v>
      </c>
      <c r="AS370" s="539" t="s">
        <v>1445</v>
      </c>
    </row>
    <row r="371" spans="1:46" s="549" customFormat="1" ht="12.75" customHeight="1">
      <c r="A371" s="601"/>
      <c r="B371" s="609"/>
      <c r="C371" s="2464"/>
      <c r="D371" s="2464"/>
      <c r="E371" s="2464"/>
      <c r="F371" s="2464"/>
      <c r="G371" s="2464"/>
      <c r="H371" s="2464"/>
      <c r="I371" s="2464"/>
      <c r="J371" s="2464"/>
      <c r="K371" s="2464"/>
      <c r="L371" s="2464"/>
      <c r="M371" s="2464"/>
      <c r="N371" s="2464"/>
      <c r="O371" s="2464"/>
      <c r="P371" s="2464"/>
      <c r="Q371" s="2464"/>
      <c r="R371" s="2464"/>
      <c r="S371" s="2464"/>
      <c r="T371" s="2464"/>
      <c r="U371" s="2464"/>
      <c r="V371" s="2464"/>
      <c r="W371" s="2464"/>
      <c r="X371" s="2464"/>
      <c r="Y371" s="2464"/>
      <c r="Z371" s="2464"/>
      <c r="AA371" s="2464"/>
      <c r="AB371" s="2464"/>
      <c r="AC371" s="2464"/>
      <c r="AD371" s="2464"/>
      <c r="AE371" s="2464"/>
      <c r="AF371" s="2464"/>
      <c r="AG371" s="2464"/>
      <c r="AH371" s="2464"/>
      <c r="AI371" s="2464"/>
      <c r="AJ371" s="2464"/>
      <c r="AK371" s="601"/>
      <c r="AL371" s="601"/>
      <c r="AM371" s="601"/>
      <c r="AN371" s="595"/>
      <c r="AO371" s="691" t="s">
        <v>113</v>
      </c>
      <c r="AP371" s="692">
        <f>IF(C402="Yes",5,0)</f>
        <v>0</v>
      </c>
      <c r="AS371" s="2532">
        <f>IF(Application!D211="Non-Targeted",(SUM(AQ379+AQ388)),AS375)</f>
        <v>10</v>
      </c>
      <c r="AT371" s="2532"/>
    </row>
    <row r="372" spans="1:46" s="549" customFormat="1" ht="12.75" customHeight="1">
      <c r="A372" s="601"/>
      <c r="B372" s="609"/>
      <c r="C372" s="2464"/>
      <c r="D372" s="2464"/>
      <c r="E372" s="2464"/>
      <c r="F372" s="2464"/>
      <c r="G372" s="2464"/>
      <c r="H372" s="2464"/>
      <c r="I372" s="2464"/>
      <c r="J372" s="2464"/>
      <c r="K372" s="2464"/>
      <c r="L372" s="2464"/>
      <c r="M372" s="2464"/>
      <c r="N372" s="2464"/>
      <c r="O372" s="2464"/>
      <c r="P372" s="2464"/>
      <c r="Q372" s="2464"/>
      <c r="R372" s="2464"/>
      <c r="S372" s="2464"/>
      <c r="T372" s="2464"/>
      <c r="U372" s="2464"/>
      <c r="V372" s="2464"/>
      <c r="W372" s="2464"/>
      <c r="X372" s="2464"/>
      <c r="Y372" s="2464"/>
      <c r="Z372" s="2464"/>
      <c r="AA372" s="2464"/>
      <c r="AB372" s="2464"/>
      <c r="AC372" s="2464"/>
      <c r="AD372" s="2464"/>
      <c r="AE372" s="2464"/>
      <c r="AF372" s="2464"/>
      <c r="AG372" s="2464"/>
      <c r="AH372" s="2464"/>
      <c r="AI372" s="2464"/>
      <c r="AJ372" s="2464"/>
      <c r="AK372" s="601"/>
      <c r="AL372" s="601"/>
      <c r="AM372" s="601"/>
      <c r="AN372" s="595"/>
      <c r="AO372" s="691" t="s">
        <v>119</v>
      </c>
      <c r="AP372" s="692">
        <f>IF(C410="Yes",7,0)</f>
        <v>7</v>
      </c>
      <c r="AS372" s="539" t="s">
        <v>1446</v>
      </c>
    </row>
    <row r="373" spans="1:46" s="549" customFormat="1" ht="12.75" customHeight="1">
      <c r="B373" s="609"/>
      <c r="C373" s="2464"/>
      <c r="D373" s="2464"/>
      <c r="E373" s="2464"/>
      <c r="F373" s="2464"/>
      <c r="G373" s="2464"/>
      <c r="H373" s="2464"/>
      <c r="I373" s="2464"/>
      <c r="J373" s="2464"/>
      <c r="K373" s="2464"/>
      <c r="L373" s="2464"/>
      <c r="M373" s="2464"/>
      <c r="N373" s="2464"/>
      <c r="O373" s="2464"/>
      <c r="P373" s="2464"/>
      <c r="Q373" s="2464"/>
      <c r="R373" s="2464"/>
      <c r="S373" s="2464"/>
      <c r="T373" s="2464"/>
      <c r="U373" s="2464"/>
      <c r="V373" s="2464"/>
      <c r="W373" s="2464"/>
      <c r="X373" s="2464"/>
      <c r="Y373" s="2464"/>
      <c r="Z373" s="2464"/>
      <c r="AA373" s="2464"/>
      <c r="AB373" s="2464"/>
      <c r="AC373" s="2464"/>
      <c r="AD373" s="2464"/>
      <c r="AE373" s="2464"/>
      <c r="AF373" s="2464"/>
      <c r="AG373" s="2464"/>
      <c r="AH373" s="2464"/>
      <c r="AI373" s="2464"/>
      <c r="AJ373" s="2464"/>
      <c r="AK373" s="601"/>
      <c r="AL373" s="601"/>
      <c r="AM373" s="601"/>
      <c r="AN373" s="595"/>
      <c r="AO373" s="595"/>
      <c r="AP373" s="692">
        <f>IF(C412="Yes",5,0)</f>
        <v>0</v>
      </c>
      <c r="AS373" s="2532">
        <f>IF(AND(AQ379&gt;0,AQ388&gt;0),(AQ379+AQ388)/2,0)</f>
        <v>0</v>
      </c>
      <c r="AT373" s="2532"/>
    </row>
    <row r="374" spans="1:46" s="549" customFormat="1" ht="12.75" customHeight="1">
      <c r="A374" s="601"/>
      <c r="B374" s="609"/>
      <c r="C374" s="2464"/>
      <c r="D374" s="2464"/>
      <c r="E374" s="2464"/>
      <c r="F374" s="2464"/>
      <c r="G374" s="2464"/>
      <c r="H374" s="2464"/>
      <c r="I374" s="2464"/>
      <c r="J374" s="2464"/>
      <c r="K374" s="2464"/>
      <c r="L374" s="2464"/>
      <c r="M374" s="2464"/>
      <c r="N374" s="2464"/>
      <c r="O374" s="2464"/>
      <c r="P374" s="2464"/>
      <c r="Q374" s="2464"/>
      <c r="R374" s="2464"/>
      <c r="S374" s="2464"/>
      <c r="T374" s="2464"/>
      <c r="U374" s="2464"/>
      <c r="V374" s="2464"/>
      <c r="W374" s="2464"/>
      <c r="X374" s="2464"/>
      <c r="Y374" s="2464"/>
      <c r="Z374" s="2464"/>
      <c r="AA374" s="2464"/>
      <c r="AB374" s="2464"/>
      <c r="AC374" s="2464"/>
      <c r="AD374" s="2464"/>
      <c r="AE374" s="2464"/>
      <c r="AF374" s="2464"/>
      <c r="AG374" s="2464"/>
      <c r="AH374" s="2464"/>
      <c r="AI374" s="2464"/>
      <c r="AJ374" s="2464"/>
      <c r="AK374" s="601"/>
      <c r="AL374" s="601"/>
      <c r="AM374" s="601"/>
      <c r="AN374" s="595"/>
      <c r="AO374" s="691" t="s">
        <v>580</v>
      </c>
      <c r="AP374" s="692">
        <f>IF(C420="Yes",5,0)</f>
        <v>0</v>
      </c>
      <c r="AS374" s="539" t="s">
        <v>1850</v>
      </c>
    </row>
    <row r="375" spans="1:46" s="549" customFormat="1" ht="12.75" customHeight="1">
      <c r="A375" s="601"/>
      <c r="B375" s="609"/>
      <c r="C375" s="2533" t="s">
        <v>2183</v>
      </c>
      <c r="D375" s="2533"/>
      <c r="E375" s="2533"/>
      <c r="F375" s="2533"/>
      <c r="G375" s="2533"/>
      <c r="H375" s="2533"/>
      <c r="I375" s="2533"/>
      <c r="J375" s="2533"/>
      <c r="K375" s="2533"/>
      <c r="L375" s="2533"/>
      <c r="M375" s="2533"/>
      <c r="N375" s="2533"/>
      <c r="O375" s="2533"/>
      <c r="P375" s="2533"/>
      <c r="Q375" s="2533"/>
      <c r="R375" s="2533"/>
      <c r="S375" s="2533"/>
      <c r="T375" s="2533"/>
      <c r="U375" s="2533"/>
      <c r="V375" s="2533"/>
      <c r="W375" s="2533"/>
      <c r="X375" s="2533"/>
      <c r="Y375" s="2533"/>
      <c r="Z375" s="2533"/>
      <c r="AA375" s="2533"/>
      <c r="AB375" s="2533"/>
      <c r="AC375" s="2533"/>
      <c r="AD375" s="2533"/>
      <c r="AE375" s="2533"/>
      <c r="AF375" s="2533"/>
      <c r="AG375" s="2533"/>
      <c r="AH375" s="2533"/>
      <c r="AI375" s="2533"/>
      <c r="AJ375" s="2533"/>
      <c r="AK375" s="601"/>
      <c r="AL375" s="601"/>
      <c r="AM375" s="601"/>
      <c r="AN375" s="595"/>
      <c r="AO375" s="595"/>
      <c r="AP375" s="692">
        <f>IF(C422="Yes",3,0)</f>
        <v>3</v>
      </c>
      <c r="AS375" s="2532">
        <f>IF(AQ379=0,AQ388,AQ379)</f>
        <v>10</v>
      </c>
      <c r="AT375" s="2532"/>
    </row>
    <row r="376" spans="1:46" s="549" customFormat="1" ht="12.75" customHeight="1">
      <c r="A376" s="601"/>
      <c r="B376" s="609"/>
      <c r="C376" s="2533"/>
      <c r="D376" s="2533"/>
      <c r="E376" s="2533"/>
      <c r="F376" s="2533"/>
      <c r="G376" s="2533"/>
      <c r="H376" s="2533"/>
      <c r="I376" s="2533"/>
      <c r="J376" s="2533"/>
      <c r="K376" s="2533"/>
      <c r="L376" s="2533"/>
      <c r="M376" s="2533"/>
      <c r="N376" s="2533"/>
      <c r="O376" s="2533"/>
      <c r="P376" s="2533"/>
      <c r="Q376" s="2533"/>
      <c r="R376" s="2533"/>
      <c r="S376" s="2533"/>
      <c r="T376" s="2533"/>
      <c r="U376" s="2533"/>
      <c r="V376" s="2533"/>
      <c r="W376" s="2533"/>
      <c r="X376" s="2533"/>
      <c r="Y376" s="2533"/>
      <c r="Z376" s="2533"/>
      <c r="AA376" s="2533"/>
      <c r="AB376" s="2533"/>
      <c r="AC376" s="2533"/>
      <c r="AD376" s="2533"/>
      <c r="AE376" s="2533"/>
      <c r="AF376" s="2533"/>
      <c r="AG376" s="2533"/>
      <c r="AH376" s="2533"/>
      <c r="AI376" s="2533"/>
      <c r="AJ376" s="2533"/>
      <c r="AK376" s="601"/>
      <c r="AL376" s="601"/>
      <c r="AM376" s="601"/>
      <c r="AN376" s="595"/>
      <c r="AO376" s="691" t="s">
        <v>762</v>
      </c>
      <c r="AP376" s="692">
        <f>IF(C425="Yes",5,0)</f>
        <v>0</v>
      </c>
    </row>
    <row r="377" spans="1:46" s="549" customFormat="1" ht="12.75" customHeight="1">
      <c r="A377" s="601"/>
      <c r="B377" s="609"/>
      <c r="C377" s="2533"/>
      <c r="D377" s="2533"/>
      <c r="E377" s="2533"/>
      <c r="F377" s="2533"/>
      <c r="G377" s="2533"/>
      <c r="H377" s="2533"/>
      <c r="I377" s="2533"/>
      <c r="J377" s="2533"/>
      <c r="K377" s="2533"/>
      <c r="L377" s="2533"/>
      <c r="M377" s="2533"/>
      <c r="N377" s="2533"/>
      <c r="O377" s="2533"/>
      <c r="P377" s="2533"/>
      <c r="Q377" s="2533"/>
      <c r="R377" s="2533"/>
      <c r="S377" s="2533"/>
      <c r="T377" s="2533"/>
      <c r="U377" s="2533"/>
      <c r="V377" s="2533"/>
      <c r="W377" s="2533"/>
      <c r="X377" s="2533"/>
      <c r="Y377" s="2533"/>
      <c r="Z377" s="2533"/>
      <c r="AA377" s="2533"/>
      <c r="AB377" s="2533"/>
      <c r="AC377" s="2533"/>
      <c r="AD377" s="2533"/>
      <c r="AE377" s="2533"/>
      <c r="AF377" s="2533"/>
      <c r="AG377" s="2533"/>
      <c r="AH377" s="2533"/>
      <c r="AI377" s="2533"/>
      <c r="AJ377" s="2533"/>
      <c r="AK377" s="601"/>
      <c r="AL377" s="601"/>
      <c r="AM377" s="601"/>
      <c r="AN377" s="595"/>
      <c r="AO377" s="691" t="s">
        <v>583</v>
      </c>
      <c r="AP377" s="692">
        <f>IF(C434="Yes",5,0)</f>
        <v>0</v>
      </c>
    </row>
    <row r="378" spans="1:46" s="549" customFormat="1" ht="11.85" customHeight="1">
      <c r="A378" s="601"/>
      <c r="B378" s="609"/>
      <c r="C378" s="2533"/>
      <c r="D378" s="2533"/>
      <c r="E378" s="2533"/>
      <c r="F378" s="2533"/>
      <c r="G378" s="2533"/>
      <c r="H378" s="2533"/>
      <c r="I378" s="2533"/>
      <c r="J378" s="2533"/>
      <c r="K378" s="2533"/>
      <c r="L378" s="2533"/>
      <c r="M378" s="2533"/>
      <c r="N378" s="2533"/>
      <c r="O378" s="2533"/>
      <c r="P378" s="2533"/>
      <c r="Q378" s="2533"/>
      <c r="R378" s="2533"/>
      <c r="S378" s="2533"/>
      <c r="T378" s="2533"/>
      <c r="U378" s="2533"/>
      <c r="V378" s="2533"/>
      <c r="W378" s="2533"/>
      <c r="X378" s="2533"/>
      <c r="Y378" s="2533"/>
      <c r="Z378" s="2533"/>
      <c r="AA378" s="2533"/>
      <c r="AB378" s="2533"/>
      <c r="AC378" s="2533"/>
      <c r="AD378" s="2533"/>
      <c r="AE378" s="2533"/>
      <c r="AF378" s="2533"/>
      <c r="AG378" s="2533"/>
      <c r="AH378" s="2533"/>
      <c r="AI378" s="2533"/>
      <c r="AJ378" s="2533"/>
      <c r="AK378" s="601"/>
      <c r="AL378" s="601"/>
      <c r="AM378" s="601"/>
      <c r="AN378" s="595"/>
      <c r="AO378" s="693"/>
      <c r="AP378" s="694">
        <f>IF(C436="Yes",3,0)</f>
        <v>0</v>
      </c>
    </row>
    <row r="379" spans="1:46" s="549" customFormat="1" ht="12.4" customHeight="1">
      <c r="A379" s="601"/>
      <c r="B379" s="609"/>
      <c r="C379" s="2533"/>
      <c r="D379" s="2533"/>
      <c r="E379" s="2533"/>
      <c r="F379" s="2533"/>
      <c r="G379" s="2533"/>
      <c r="H379" s="2533"/>
      <c r="I379" s="2533"/>
      <c r="J379" s="2533"/>
      <c r="K379" s="2533"/>
      <c r="L379" s="2533"/>
      <c r="M379" s="2533"/>
      <c r="N379" s="2533"/>
      <c r="O379" s="2533"/>
      <c r="P379" s="2533"/>
      <c r="Q379" s="2533"/>
      <c r="R379" s="2533"/>
      <c r="S379" s="2533"/>
      <c r="T379" s="2533"/>
      <c r="U379" s="2533"/>
      <c r="V379" s="2533"/>
      <c r="W379" s="2533"/>
      <c r="X379" s="2533"/>
      <c r="Y379" s="2533"/>
      <c r="Z379" s="2533"/>
      <c r="AA379" s="2533"/>
      <c r="AB379" s="2533"/>
      <c r="AC379" s="2533"/>
      <c r="AD379" s="2533"/>
      <c r="AE379" s="2533"/>
      <c r="AF379" s="2533"/>
      <c r="AG379" s="2533"/>
      <c r="AH379" s="2533"/>
      <c r="AI379" s="2533"/>
      <c r="AJ379" s="2533"/>
      <c r="AK379" s="601"/>
      <c r="AL379" s="601"/>
      <c r="AM379" s="601"/>
      <c r="AN379" s="595"/>
      <c r="AO379" s="695" t="s">
        <v>227</v>
      </c>
      <c r="AP379" s="696">
        <f>SUM(AP370:AP378)</f>
        <v>10</v>
      </c>
      <c r="AQ379" s="2467">
        <f>IF(AP379&gt;0,AP379,0)</f>
        <v>10</v>
      </c>
      <c r="AR379" s="2467"/>
    </row>
    <row r="380" spans="1:46" s="549" customFormat="1" ht="12.75" customHeight="1">
      <c r="A380" s="601"/>
      <c r="B380" s="609"/>
      <c r="C380" s="2533"/>
      <c r="D380" s="2533"/>
      <c r="E380" s="2533"/>
      <c r="F380" s="2533"/>
      <c r="G380" s="2533"/>
      <c r="H380" s="2533"/>
      <c r="I380" s="2533"/>
      <c r="J380" s="2533"/>
      <c r="K380" s="2533"/>
      <c r="L380" s="2533"/>
      <c r="M380" s="2533"/>
      <c r="N380" s="2533"/>
      <c r="O380" s="2533"/>
      <c r="P380" s="2533"/>
      <c r="Q380" s="2533"/>
      <c r="R380" s="2533"/>
      <c r="S380" s="2533"/>
      <c r="T380" s="2533"/>
      <c r="U380" s="2533"/>
      <c r="V380" s="2533"/>
      <c r="W380" s="2533"/>
      <c r="X380" s="2533"/>
      <c r="Y380" s="2533"/>
      <c r="Z380" s="2533"/>
      <c r="AA380" s="2533"/>
      <c r="AB380" s="2533"/>
      <c r="AC380" s="2533"/>
      <c r="AD380" s="2533"/>
      <c r="AE380" s="2533"/>
      <c r="AF380" s="2533"/>
      <c r="AG380" s="2533"/>
      <c r="AH380" s="2533"/>
      <c r="AI380" s="2533"/>
      <c r="AJ380" s="253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4" t="s">
        <v>1447</v>
      </c>
      <c r="D382" s="2464"/>
      <c r="E382" s="2464"/>
      <c r="F382" s="2464"/>
      <c r="G382" s="2464"/>
      <c r="H382" s="2464"/>
      <c r="I382" s="2464"/>
      <c r="J382" s="2464"/>
      <c r="K382" s="2464"/>
      <c r="L382" s="2464"/>
      <c r="M382" s="2464"/>
      <c r="N382" s="2464"/>
      <c r="O382" s="2464"/>
      <c r="P382" s="2464"/>
      <c r="Q382" s="2464"/>
      <c r="R382" s="2464"/>
      <c r="S382" s="2464"/>
      <c r="T382" s="2464"/>
      <c r="U382" s="2464"/>
      <c r="V382" s="2464"/>
      <c r="W382" s="2464"/>
      <c r="X382" s="2464"/>
      <c r="Y382" s="2464"/>
      <c r="Z382" s="2464"/>
      <c r="AA382" s="2464"/>
      <c r="AB382" s="2464"/>
      <c r="AC382" s="2464"/>
      <c r="AD382" s="2464"/>
      <c r="AE382" s="2464"/>
      <c r="AF382" s="2464"/>
      <c r="AG382" s="2464"/>
      <c r="AH382" s="2464"/>
      <c r="AI382" s="2464"/>
      <c r="AJ382" s="2464"/>
      <c r="AK382" s="601"/>
      <c r="AL382" s="601"/>
      <c r="AM382" s="601"/>
      <c r="AN382" s="595"/>
      <c r="AO382" s="691" t="s">
        <v>455</v>
      </c>
      <c r="AP382" s="692">
        <f>IF(C455="Yes",5,0)</f>
        <v>0</v>
      </c>
    </row>
    <row r="383" spans="1:46" s="549" customFormat="1" ht="12.75" customHeight="1">
      <c r="A383" s="601"/>
      <c r="B383" s="609"/>
      <c r="C383" s="2464"/>
      <c r="D383" s="2464"/>
      <c r="E383" s="2464"/>
      <c r="F383" s="2464"/>
      <c r="G383" s="2464"/>
      <c r="H383" s="2464"/>
      <c r="I383" s="2464"/>
      <c r="J383" s="2464"/>
      <c r="K383" s="2464"/>
      <c r="L383" s="2464"/>
      <c r="M383" s="2464"/>
      <c r="N383" s="2464"/>
      <c r="O383" s="2464"/>
      <c r="P383" s="2464"/>
      <c r="Q383" s="2464"/>
      <c r="R383" s="2464"/>
      <c r="S383" s="2464"/>
      <c r="T383" s="2464"/>
      <c r="U383" s="2464"/>
      <c r="V383" s="2464"/>
      <c r="W383" s="2464"/>
      <c r="X383" s="2464"/>
      <c r="Y383" s="2464"/>
      <c r="Z383" s="2464"/>
      <c r="AA383" s="2464"/>
      <c r="AB383" s="2464"/>
      <c r="AC383" s="2464"/>
      <c r="AD383" s="2464"/>
      <c r="AE383" s="2464"/>
      <c r="AF383" s="2464"/>
      <c r="AG383" s="2464"/>
      <c r="AH383" s="2464"/>
      <c r="AI383" s="2464"/>
      <c r="AJ383" s="2464"/>
      <c r="AK383" s="601"/>
      <c r="AL383" s="601"/>
      <c r="AM383" s="601"/>
      <c r="AN383" s="595"/>
      <c r="AO383" s="691" t="s">
        <v>460</v>
      </c>
      <c r="AP383" s="692">
        <f>IF(C462="Yes",5,0)</f>
        <v>0</v>
      </c>
    </row>
    <row r="384" spans="1:46" s="549" customFormat="1" ht="68.099999999999994" customHeight="1">
      <c r="A384" s="601"/>
      <c r="B384" s="609"/>
      <c r="C384" s="2464"/>
      <c r="D384" s="2464"/>
      <c r="E384" s="2464"/>
      <c r="F384" s="2464"/>
      <c r="G384" s="2464"/>
      <c r="H384" s="2464"/>
      <c r="I384" s="2464"/>
      <c r="J384" s="2464"/>
      <c r="K384" s="2464"/>
      <c r="L384" s="2464"/>
      <c r="M384" s="2464"/>
      <c r="N384" s="2464"/>
      <c r="O384" s="2464"/>
      <c r="P384" s="2464"/>
      <c r="Q384" s="2464"/>
      <c r="R384" s="2464"/>
      <c r="S384" s="2464"/>
      <c r="T384" s="2464"/>
      <c r="U384" s="2464"/>
      <c r="V384" s="2464"/>
      <c r="W384" s="2464"/>
      <c r="X384" s="2464"/>
      <c r="Y384" s="2464"/>
      <c r="Z384" s="2464"/>
      <c r="AA384" s="2464"/>
      <c r="AB384" s="2464"/>
      <c r="AC384" s="2464"/>
      <c r="AD384" s="2464"/>
      <c r="AE384" s="2464"/>
      <c r="AF384" s="2464"/>
      <c r="AG384" s="2464"/>
      <c r="AH384" s="2464"/>
      <c r="AI384" s="2464"/>
      <c r="AJ384" s="2464"/>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65">
        <f>Application!DU810-U387</f>
        <v>289</v>
      </c>
      <c r="V386" s="2465"/>
      <c r="W386" s="246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66">
        <f>IF(Application!D211="SRO",Application!DU763,Application!AG764)</f>
        <v>0</v>
      </c>
      <c r="V387" s="2466"/>
      <c r="W387" s="246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7">
        <f>IF(AP388&gt;0,AP388,0)</f>
        <v>0</v>
      </c>
      <c r="AR388" s="2467"/>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3" t="s">
        <v>1449</v>
      </c>
      <c r="G390" s="2443"/>
      <c r="H390" s="2443"/>
      <c r="I390" s="2443"/>
      <c r="J390" s="2443"/>
      <c r="K390" s="2443"/>
      <c r="L390" s="2443"/>
      <c r="M390" s="2443"/>
      <c r="N390" s="2443"/>
      <c r="O390" s="2443"/>
      <c r="P390" s="2443"/>
      <c r="Q390" s="2443"/>
      <c r="R390" s="2443"/>
      <c r="S390" s="2443"/>
      <c r="T390" s="2443"/>
      <c r="U390" s="2443"/>
      <c r="V390" s="2443"/>
      <c r="W390" s="2443"/>
      <c r="X390" s="2443"/>
      <c r="Y390" s="2443"/>
      <c r="Z390" s="2443"/>
      <c r="AA390" s="2443"/>
      <c r="AB390" s="2443"/>
      <c r="AC390" s="2443"/>
      <c r="AD390" s="2443"/>
      <c r="AE390" s="2443"/>
      <c r="AF390" s="244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4"/>
      <c r="G391" s="2444"/>
      <c r="H391" s="2444"/>
      <c r="I391" s="2444"/>
      <c r="J391" s="2444"/>
      <c r="K391" s="2444"/>
      <c r="L391" s="2444"/>
      <c r="M391" s="2444"/>
      <c r="N391" s="2444"/>
      <c r="O391" s="2444"/>
      <c r="P391" s="2444"/>
      <c r="Q391" s="2444"/>
      <c r="R391" s="2444"/>
      <c r="S391" s="2444"/>
      <c r="T391" s="2444"/>
      <c r="U391" s="2444"/>
      <c r="V391" s="2444"/>
      <c r="W391" s="2444"/>
      <c r="X391" s="2444"/>
      <c r="Y391" s="2444"/>
      <c r="Z391" s="2444"/>
      <c r="AA391" s="2444"/>
      <c r="AB391" s="2444"/>
      <c r="AC391" s="2444"/>
      <c r="AD391" s="2444"/>
      <c r="AE391" s="2444"/>
      <c r="AF391" s="244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4"/>
      <c r="G392" s="2444"/>
      <c r="H392" s="2444"/>
      <c r="I392" s="2444"/>
      <c r="J392" s="2444"/>
      <c r="K392" s="2444"/>
      <c r="L392" s="2444"/>
      <c r="M392" s="2444"/>
      <c r="N392" s="2444"/>
      <c r="O392" s="2444"/>
      <c r="P392" s="2444"/>
      <c r="Q392" s="2444"/>
      <c r="R392" s="2444"/>
      <c r="S392" s="2444"/>
      <c r="T392" s="2444"/>
      <c r="U392" s="2444"/>
      <c r="V392" s="2444"/>
      <c r="W392" s="2444"/>
      <c r="X392" s="2444"/>
      <c r="Y392" s="2444"/>
      <c r="Z392" s="2444"/>
      <c r="AA392" s="2444"/>
      <c r="AB392" s="2444"/>
      <c r="AC392" s="2444"/>
      <c r="AD392" s="2444"/>
      <c r="AE392" s="2444"/>
      <c r="AF392" s="244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4"/>
      <c r="G393" s="2444"/>
      <c r="H393" s="2444"/>
      <c r="I393" s="2444"/>
      <c r="J393" s="2444"/>
      <c r="K393" s="2444"/>
      <c r="L393" s="2444"/>
      <c r="M393" s="2444"/>
      <c r="N393" s="2444"/>
      <c r="O393" s="2444"/>
      <c r="P393" s="2444"/>
      <c r="Q393" s="2444"/>
      <c r="R393" s="2444"/>
      <c r="S393" s="2444"/>
      <c r="T393" s="2444"/>
      <c r="U393" s="2444"/>
      <c r="V393" s="2444"/>
      <c r="W393" s="2444"/>
      <c r="X393" s="2444"/>
      <c r="Y393" s="2444"/>
      <c r="Z393" s="2444"/>
      <c r="AA393" s="2444"/>
      <c r="AB393" s="2444"/>
      <c r="AC393" s="2444"/>
      <c r="AD393" s="2444"/>
      <c r="AE393" s="2444"/>
      <c r="AF393" s="244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8" t="s">
        <v>590</v>
      </c>
      <c r="D394" s="2415"/>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9" t="s">
        <v>1451</v>
      </c>
      <c r="AG394" s="2469"/>
      <c r="AH394" s="2469"/>
      <c r="AI394" s="2469"/>
      <c r="AJ394" s="2469"/>
      <c r="AK394" s="2469"/>
      <c r="AL394" s="247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3" t="s">
        <v>1452</v>
      </c>
      <c r="G397" s="2443"/>
      <c r="H397" s="2443"/>
      <c r="I397" s="2443"/>
      <c r="J397" s="2443"/>
      <c r="K397" s="2443"/>
      <c r="L397" s="2443"/>
      <c r="M397" s="2443"/>
      <c r="N397" s="2443"/>
      <c r="O397" s="2443"/>
      <c r="P397" s="2443"/>
      <c r="Q397" s="2443"/>
      <c r="R397" s="2443"/>
      <c r="S397" s="2443"/>
      <c r="T397" s="2443"/>
      <c r="U397" s="2443"/>
      <c r="V397" s="2443"/>
      <c r="W397" s="2443"/>
      <c r="X397" s="2443"/>
      <c r="Y397" s="2443"/>
      <c r="Z397" s="2443"/>
      <c r="AA397" s="2443"/>
      <c r="AB397" s="2443"/>
      <c r="AC397" s="2443"/>
      <c r="AD397" s="2443"/>
      <c r="AE397" s="2443"/>
      <c r="AF397" s="244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4"/>
      <c r="G398" s="2444"/>
      <c r="H398" s="2444"/>
      <c r="I398" s="2444"/>
      <c r="J398" s="2444"/>
      <c r="K398" s="2444"/>
      <c r="L398" s="2444"/>
      <c r="M398" s="2444"/>
      <c r="N398" s="2444"/>
      <c r="O398" s="2444"/>
      <c r="P398" s="2444"/>
      <c r="Q398" s="2444"/>
      <c r="R398" s="2444"/>
      <c r="S398" s="2444"/>
      <c r="T398" s="2444"/>
      <c r="U398" s="2444"/>
      <c r="V398" s="2444"/>
      <c r="W398" s="2444"/>
      <c r="X398" s="2444"/>
      <c r="Y398" s="2444"/>
      <c r="Z398" s="2444"/>
      <c r="AA398" s="2444"/>
      <c r="AB398" s="2444"/>
      <c r="AC398" s="2444"/>
      <c r="AD398" s="2444"/>
      <c r="AE398" s="2444"/>
      <c r="AF398" s="244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4"/>
      <c r="G399" s="2444"/>
      <c r="H399" s="2444"/>
      <c r="I399" s="2444"/>
      <c r="J399" s="2444"/>
      <c r="K399" s="2444"/>
      <c r="L399" s="2444"/>
      <c r="M399" s="2444"/>
      <c r="N399" s="2444"/>
      <c r="O399" s="2444"/>
      <c r="P399" s="2444"/>
      <c r="Q399" s="2444"/>
      <c r="R399" s="2444"/>
      <c r="S399" s="2444"/>
      <c r="T399" s="2444"/>
      <c r="U399" s="2444"/>
      <c r="V399" s="2444"/>
      <c r="W399" s="2444"/>
      <c r="X399" s="2444"/>
      <c r="Y399" s="2444"/>
      <c r="Z399" s="2444"/>
      <c r="AA399" s="2444"/>
      <c r="AB399" s="2444"/>
      <c r="AC399" s="2444"/>
      <c r="AD399" s="2444"/>
      <c r="AE399" s="2444"/>
      <c r="AF399" s="244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4"/>
      <c r="G400" s="2444"/>
      <c r="H400" s="2444"/>
      <c r="I400" s="2444"/>
      <c r="J400" s="2444"/>
      <c r="K400" s="2444"/>
      <c r="L400" s="2444"/>
      <c r="M400" s="2444"/>
      <c r="N400" s="2444"/>
      <c r="O400" s="2444"/>
      <c r="P400" s="2444"/>
      <c r="Q400" s="2444"/>
      <c r="R400" s="2444"/>
      <c r="S400" s="2444"/>
      <c r="T400" s="2444"/>
      <c r="U400" s="2444"/>
      <c r="V400" s="2444"/>
      <c r="W400" s="2444"/>
      <c r="X400" s="2444"/>
      <c r="Y400" s="2444"/>
      <c r="Z400" s="2444"/>
      <c r="AA400" s="2444"/>
      <c r="AB400" s="2444"/>
      <c r="AC400" s="2444"/>
      <c r="AD400" s="2444"/>
      <c r="AE400" s="2444"/>
      <c r="AF400" s="244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4"/>
      <c r="G401" s="2444"/>
      <c r="H401" s="2444"/>
      <c r="I401" s="2444"/>
      <c r="J401" s="2444"/>
      <c r="K401" s="2444"/>
      <c r="L401" s="2444"/>
      <c r="M401" s="2444"/>
      <c r="N401" s="2444"/>
      <c r="O401" s="2444"/>
      <c r="P401" s="2444"/>
      <c r="Q401" s="2444"/>
      <c r="R401" s="2444"/>
      <c r="S401" s="2444"/>
      <c r="T401" s="2444"/>
      <c r="U401" s="2444"/>
      <c r="V401" s="2444"/>
      <c r="W401" s="2444"/>
      <c r="X401" s="2444"/>
      <c r="Y401" s="2444"/>
      <c r="Z401" s="2444"/>
      <c r="AA401" s="2444"/>
      <c r="AB401" s="2444"/>
      <c r="AC401" s="2444"/>
      <c r="AD401" s="2444"/>
      <c r="AE401" s="2444"/>
      <c r="AF401" s="2444"/>
      <c r="AL401" s="728"/>
      <c r="AN401" s="595"/>
      <c r="BS401" s="30"/>
      <c r="BT401" s="30"/>
      <c r="BU401" s="14"/>
      <c r="BV401" s="14"/>
      <c r="BW401" s="14"/>
      <c r="BX401" s="14"/>
      <c r="BY401" s="14"/>
      <c r="BZ401" s="14"/>
      <c r="CA401" s="14"/>
      <c r="CB401" s="14"/>
      <c r="CC401" s="14"/>
    </row>
    <row r="402" spans="1:81" s="549" customFormat="1" ht="12.75" customHeight="1">
      <c r="A402" s="536"/>
      <c r="B402" s="14"/>
      <c r="C402" s="2468" t="s">
        <v>590</v>
      </c>
      <c r="D402" s="2415"/>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9" t="s">
        <v>1451</v>
      </c>
      <c r="AG402" s="2469"/>
      <c r="AH402" s="2469"/>
      <c r="AI402" s="2469"/>
      <c r="AJ402" s="2469"/>
      <c r="AK402" s="2469"/>
      <c r="AL402" s="247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3" t="s">
        <v>1454</v>
      </c>
      <c r="G405" s="2443"/>
      <c r="H405" s="2443"/>
      <c r="I405" s="2443"/>
      <c r="J405" s="2443"/>
      <c r="K405" s="2443"/>
      <c r="L405" s="2443"/>
      <c r="M405" s="2443"/>
      <c r="N405" s="2443"/>
      <c r="O405" s="2443"/>
      <c r="P405" s="2443"/>
      <c r="Q405" s="2443"/>
      <c r="R405" s="2443"/>
      <c r="S405" s="2443"/>
      <c r="T405" s="2443"/>
      <c r="U405" s="2443"/>
      <c r="V405" s="2443"/>
      <c r="W405" s="2443"/>
      <c r="X405" s="2443"/>
      <c r="Y405" s="2443"/>
      <c r="Z405" s="2443"/>
      <c r="AA405" s="2443"/>
      <c r="AB405" s="2443"/>
      <c r="AC405" s="2443"/>
      <c r="AD405" s="2443"/>
      <c r="AE405" s="2443"/>
      <c r="AF405" s="244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4"/>
      <c r="G406" s="2444"/>
      <c r="H406" s="2444"/>
      <c r="I406" s="2444"/>
      <c r="J406" s="2444"/>
      <c r="K406" s="2444"/>
      <c r="L406" s="2444"/>
      <c r="M406" s="2444"/>
      <c r="N406" s="2444"/>
      <c r="O406" s="2444"/>
      <c r="P406" s="2444"/>
      <c r="Q406" s="2444"/>
      <c r="R406" s="2444"/>
      <c r="S406" s="2444"/>
      <c r="T406" s="2444"/>
      <c r="U406" s="2444"/>
      <c r="V406" s="2444"/>
      <c r="W406" s="2444"/>
      <c r="X406" s="2444"/>
      <c r="Y406" s="2444"/>
      <c r="Z406" s="2444"/>
      <c r="AA406" s="2444"/>
      <c r="AB406" s="2444"/>
      <c r="AC406" s="2444"/>
      <c r="AD406" s="2444"/>
      <c r="AE406" s="2444"/>
      <c r="AF406" s="244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4"/>
      <c r="G407" s="2444"/>
      <c r="H407" s="2444"/>
      <c r="I407" s="2444"/>
      <c r="J407" s="2444"/>
      <c r="K407" s="2444"/>
      <c r="L407" s="2444"/>
      <c r="M407" s="2444"/>
      <c r="N407" s="2444"/>
      <c r="O407" s="2444"/>
      <c r="P407" s="2444"/>
      <c r="Q407" s="2444"/>
      <c r="R407" s="2444"/>
      <c r="S407" s="2444"/>
      <c r="T407" s="2444"/>
      <c r="U407" s="2444"/>
      <c r="V407" s="2444"/>
      <c r="W407" s="2444"/>
      <c r="X407" s="2444"/>
      <c r="Y407" s="2444"/>
      <c r="Z407" s="2444"/>
      <c r="AA407" s="2444"/>
      <c r="AB407" s="2444"/>
      <c r="AC407" s="2444"/>
      <c r="AD407" s="2444"/>
      <c r="AE407" s="2444"/>
      <c r="AF407" s="244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4"/>
      <c r="G408" s="2444"/>
      <c r="H408" s="2444"/>
      <c r="I408" s="2444"/>
      <c r="J408" s="2444"/>
      <c r="K408" s="2444"/>
      <c r="L408" s="2444"/>
      <c r="M408" s="2444"/>
      <c r="N408" s="2444"/>
      <c r="O408" s="2444"/>
      <c r="P408" s="2444"/>
      <c r="Q408" s="2444"/>
      <c r="R408" s="2444"/>
      <c r="S408" s="2444"/>
      <c r="T408" s="2444"/>
      <c r="U408" s="2444"/>
      <c r="V408" s="2444"/>
      <c r="W408" s="2444"/>
      <c r="X408" s="2444"/>
      <c r="Y408" s="2444"/>
      <c r="Z408" s="2444"/>
      <c r="AA408" s="2444"/>
      <c r="AB408" s="2444"/>
      <c r="AC408" s="2444"/>
      <c r="AD408" s="2444"/>
      <c r="AE408" s="2444"/>
      <c r="AF408" s="244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4"/>
      <c r="G409" s="2444"/>
      <c r="H409" s="2444"/>
      <c r="I409" s="2444"/>
      <c r="J409" s="2444"/>
      <c r="K409" s="2444"/>
      <c r="L409" s="2444"/>
      <c r="M409" s="2444"/>
      <c r="N409" s="2444"/>
      <c r="O409" s="2444"/>
      <c r="P409" s="2444"/>
      <c r="Q409" s="2444"/>
      <c r="R409" s="2444"/>
      <c r="S409" s="2444"/>
      <c r="T409" s="2444"/>
      <c r="U409" s="2444"/>
      <c r="V409" s="2444"/>
      <c r="W409" s="2444"/>
      <c r="X409" s="2444"/>
      <c r="Y409" s="2444"/>
      <c r="Z409" s="2444"/>
      <c r="AA409" s="2444"/>
      <c r="AB409" s="2444"/>
      <c r="AC409" s="2444"/>
      <c r="AD409" s="2444"/>
      <c r="AE409" s="2444"/>
      <c r="AF409" s="244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8" t="s">
        <v>544</v>
      </c>
      <c r="D410" s="2415"/>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9" t="s">
        <v>1456</v>
      </c>
      <c r="AG410" s="2469"/>
      <c r="AH410" s="2469"/>
      <c r="AI410" s="2469"/>
      <c r="AJ410" s="2469"/>
      <c r="AK410" s="2469"/>
      <c r="AL410" s="247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8" t="s">
        <v>590</v>
      </c>
      <c r="D412" s="2415"/>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9" t="s">
        <v>1451</v>
      </c>
      <c r="AG412" s="2469"/>
      <c r="AH412" s="2469"/>
      <c r="AI412" s="2469"/>
      <c r="AJ412" s="2469"/>
      <c r="AK412" s="2469"/>
      <c r="AL412" s="247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3" t="s">
        <v>1460</v>
      </c>
      <c r="G416" s="2443"/>
      <c r="H416" s="2443"/>
      <c r="I416" s="2443"/>
      <c r="J416" s="2443"/>
      <c r="K416" s="2443"/>
      <c r="L416" s="2443"/>
      <c r="M416" s="2443"/>
      <c r="N416" s="2443"/>
      <c r="O416" s="2443"/>
      <c r="P416" s="2443"/>
      <c r="Q416" s="2443"/>
      <c r="R416" s="2443"/>
      <c r="S416" s="2443"/>
      <c r="T416" s="2443"/>
      <c r="U416" s="2443"/>
      <c r="V416" s="2443"/>
      <c r="W416" s="2443"/>
      <c r="X416" s="2443"/>
      <c r="Y416" s="2443"/>
      <c r="Z416" s="2443"/>
      <c r="AA416" s="2443"/>
      <c r="AB416" s="2443"/>
      <c r="AC416" s="2443"/>
      <c r="AD416" s="2443"/>
      <c r="AE416" s="2443"/>
      <c r="AF416" s="244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4"/>
      <c r="G417" s="2444"/>
      <c r="H417" s="2444"/>
      <c r="I417" s="2444"/>
      <c r="J417" s="2444"/>
      <c r="K417" s="2444"/>
      <c r="L417" s="2444"/>
      <c r="M417" s="2444"/>
      <c r="N417" s="2444"/>
      <c r="O417" s="2444"/>
      <c r="P417" s="2444"/>
      <c r="Q417" s="2444"/>
      <c r="R417" s="2444"/>
      <c r="S417" s="2444"/>
      <c r="T417" s="2444"/>
      <c r="U417" s="2444"/>
      <c r="V417" s="2444"/>
      <c r="W417" s="2444"/>
      <c r="X417" s="2444"/>
      <c r="Y417" s="2444"/>
      <c r="Z417" s="2444"/>
      <c r="AA417" s="2444"/>
      <c r="AB417" s="2444"/>
      <c r="AC417" s="2444"/>
      <c r="AD417" s="2444"/>
      <c r="AE417" s="2444"/>
      <c r="AF417" s="244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4"/>
      <c r="G418" s="2444"/>
      <c r="H418" s="2444"/>
      <c r="I418" s="2444"/>
      <c r="J418" s="2444"/>
      <c r="K418" s="2444"/>
      <c r="L418" s="2444"/>
      <c r="M418" s="2444"/>
      <c r="N418" s="2444"/>
      <c r="O418" s="2444"/>
      <c r="P418" s="2444"/>
      <c r="Q418" s="2444"/>
      <c r="R418" s="2444"/>
      <c r="S418" s="2444"/>
      <c r="T418" s="2444"/>
      <c r="U418" s="2444"/>
      <c r="V418" s="2444"/>
      <c r="W418" s="2444"/>
      <c r="X418" s="2444"/>
      <c r="Y418" s="2444"/>
      <c r="Z418" s="2444"/>
      <c r="AA418" s="2444"/>
      <c r="AB418" s="2444"/>
      <c r="AC418" s="2444"/>
      <c r="AD418" s="2444"/>
      <c r="AE418" s="2444"/>
      <c r="AF418" s="244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4"/>
      <c r="G419" s="2444"/>
      <c r="H419" s="2444"/>
      <c r="I419" s="2444"/>
      <c r="J419" s="2444"/>
      <c r="K419" s="2444"/>
      <c r="L419" s="2444"/>
      <c r="M419" s="2444"/>
      <c r="N419" s="2444"/>
      <c r="O419" s="2444"/>
      <c r="P419" s="2444"/>
      <c r="Q419" s="2444"/>
      <c r="R419" s="2444"/>
      <c r="S419" s="2444"/>
      <c r="T419" s="2444"/>
      <c r="U419" s="2444"/>
      <c r="V419" s="2444"/>
      <c r="W419" s="2444"/>
      <c r="X419" s="2444"/>
      <c r="Y419" s="2444"/>
      <c r="Z419" s="2444"/>
      <c r="AA419" s="2444"/>
      <c r="AB419" s="2444"/>
      <c r="AC419" s="2444"/>
      <c r="AD419" s="2444"/>
      <c r="AE419" s="2444"/>
      <c r="AF419" s="244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8" t="s">
        <v>590</v>
      </c>
      <c r="D420" s="2415"/>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9" t="s">
        <v>1451</v>
      </c>
      <c r="AG420" s="2469"/>
      <c r="AH420" s="2469"/>
      <c r="AI420" s="2469"/>
      <c r="AJ420" s="2469"/>
      <c r="AK420" s="2469"/>
      <c r="AL420" s="247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8" t="s">
        <v>544</v>
      </c>
      <c r="D422" s="2415"/>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9" t="s">
        <v>1463</v>
      </c>
      <c r="AG422" s="2469"/>
      <c r="AH422" s="2469"/>
      <c r="AI422" s="2469"/>
      <c r="AJ422" s="2469"/>
      <c r="AK422" s="2469"/>
      <c r="AL422" s="247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8" t="s">
        <v>590</v>
      </c>
      <c r="D425" s="2415"/>
      <c r="E425" s="711" t="s">
        <v>1464</v>
      </c>
      <c r="F425" s="2443" t="s">
        <v>1465</v>
      </c>
      <c r="G425" s="2443"/>
      <c r="H425" s="2443"/>
      <c r="I425" s="2443"/>
      <c r="J425" s="2443"/>
      <c r="K425" s="2443"/>
      <c r="L425" s="2443"/>
      <c r="M425" s="2443"/>
      <c r="N425" s="2443"/>
      <c r="O425" s="2443"/>
      <c r="P425" s="2443"/>
      <c r="Q425" s="2443"/>
      <c r="R425" s="2443"/>
      <c r="S425" s="2443"/>
      <c r="T425" s="2443"/>
      <c r="U425" s="2443"/>
      <c r="V425" s="2443"/>
      <c r="W425" s="2443"/>
      <c r="X425" s="2443"/>
      <c r="Y425" s="2443"/>
      <c r="Z425" s="2443"/>
      <c r="AA425" s="2443"/>
      <c r="AB425" s="2443"/>
      <c r="AC425" s="2443"/>
      <c r="AD425" s="2443"/>
      <c r="AE425" s="244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394" t="s">
        <v>1451</v>
      </c>
      <c r="AG426" s="2394"/>
      <c r="AH426" s="2394"/>
      <c r="AI426" s="2394"/>
      <c r="AJ426" s="2394"/>
      <c r="AK426" s="2394"/>
      <c r="AL426" s="2475"/>
      <c r="AM426" s="568"/>
      <c r="AN426" s="595"/>
      <c r="BS426" s="568"/>
      <c r="BT426" s="568"/>
      <c r="BY426" s="568"/>
      <c r="BZ426" s="568"/>
      <c r="CA426" s="568"/>
      <c r="CB426" s="568"/>
      <c r="CC426" s="568"/>
    </row>
    <row r="427" spans="1:81" s="549" customFormat="1" ht="12.75" customHeight="1">
      <c r="A427" s="536"/>
      <c r="B427" s="14"/>
      <c r="C427" s="727"/>
      <c r="D427" s="14"/>
      <c r="E427" s="687"/>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5"/>
      <c r="G428" s="2445"/>
      <c r="H428" s="2445"/>
      <c r="I428" s="2445"/>
      <c r="J428" s="2445"/>
      <c r="K428" s="2445"/>
      <c r="L428" s="2445"/>
      <c r="M428" s="2445"/>
      <c r="N428" s="2445"/>
      <c r="O428" s="2445"/>
      <c r="P428" s="2445"/>
      <c r="Q428" s="2445"/>
      <c r="R428" s="2445"/>
      <c r="S428" s="2445"/>
      <c r="T428" s="2445"/>
      <c r="U428" s="2445"/>
      <c r="V428" s="2445"/>
      <c r="W428" s="2445"/>
      <c r="X428" s="2445"/>
      <c r="Y428" s="2445"/>
      <c r="Z428" s="2445"/>
      <c r="AA428" s="2445"/>
      <c r="AB428" s="2445"/>
      <c r="AC428" s="2445"/>
      <c r="AD428" s="2445"/>
      <c r="AE428" s="244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3" t="s">
        <v>1467</v>
      </c>
      <c r="G430" s="2443"/>
      <c r="H430" s="2443"/>
      <c r="I430" s="2443"/>
      <c r="J430" s="2443"/>
      <c r="K430" s="2443"/>
      <c r="L430" s="2443"/>
      <c r="M430" s="2443"/>
      <c r="N430" s="2443"/>
      <c r="O430" s="2443"/>
      <c r="P430" s="2443"/>
      <c r="Q430" s="2443"/>
      <c r="R430" s="2443"/>
      <c r="S430" s="2443"/>
      <c r="T430" s="2443"/>
      <c r="U430" s="2443"/>
      <c r="V430" s="2443"/>
      <c r="W430" s="2443"/>
      <c r="X430" s="2443"/>
      <c r="Y430" s="2443"/>
      <c r="Z430" s="2443"/>
      <c r="AA430" s="2443"/>
      <c r="AB430" s="2443"/>
      <c r="AC430" s="2443"/>
      <c r="AD430" s="2443"/>
      <c r="AE430" s="2443"/>
      <c r="AF430" s="743"/>
      <c r="AG430" s="743"/>
      <c r="AH430" s="743"/>
      <c r="AI430" s="743"/>
      <c r="AJ430" s="743"/>
      <c r="AK430" s="743"/>
      <c r="AL430" s="744"/>
      <c r="AM430" s="568"/>
    </row>
    <row r="431" spans="1:81">
      <c r="A431" s="536"/>
      <c r="C431" s="727"/>
      <c r="E431" s="687"/>
      <c r="F431" s="2444"/>
      <c r="G431" s="2444"/>
      <c r="H431" s="2444"/>
      <c r="I431" s="2444"/>
      <c r="J431" s="2444"/>
      <c r="K431" s="2444"/>
      <c r="L431" s="2444"/>
      <c r="M431" s="2444"/>
      <c r="N431" s="2444"/>
      <c r="O431" s="2444"/>
      <c r="P431" s="2444"/>
      <c r="Q431" s="2444"/>
      <c r="R431" s="2444"/>
      <c r="S431" s="2444"/>
      <c r="T431" s="2444"/>
      <c r="U431" s="2444"/>
      <c r="V431" s="2444"/>
      <c r="W431" s="2444"/>
      <c r="X431" s="2444"/>
      <c r="Y431" s="2444"/>
      <c r="Z431" s="2444"/>
      <c r="AA431" s="2444"/>
      <c r="AB431" s="2444"/>
      <c r="AC431" s="2444"/>
      <c r="AD431" s="2444"/>
      <c r="AE431" s="2444"/>
      <c r="AF431" s="539"/>
      <c r="AG431" s="536"/>
      <c r="AH431" s="549"/>
      <c r="AI431" s="549"/>
      <c r="AJ431" s="549"/>
      <c r="AK431" s="549"/>
      <c r="AL431" s="728"/>
      <c r="AM431" s="568"/>
    </row>
    <row r="432" spans="1:81" s="549" customFormat="1" ht="12.75" customHeight="1">
      <c r="A432" s="536"/>
      <c r="B432" s="14"/>
      <c r="C432" s="727"/>
      <c r="D432" s="14"/>
      <c r="E432" s="687"/>
      <c r="F432" s="2444"/>
      <c r="G432" s="2444"/>
      <c r="H432" s="2444"/>
      <c r="I432" s="2444"/>
      <c r="J432" s="2444"/>
      <c r="K432" s="2444"/>
      <c r="L432" s="2444"/>
      <c r="M432" s="2444"/>
      <c r="N432" s="2444"/>
      <c r="O432" s="2444"/>
      <c r="P432" s="2444"/>
      <c r="Q432" s="2444"/>
      <c r="R432" s="2444"/>
      <c r="S432" s="2444"/>
      <c r="T432" s="2444"/>
      <c r="U432" s="2444"/>
      <c r="V432" s="2444"/>
      <c r="W432" s="2444"/>
      <c r="X432" s="2444"/>
      <c r="Y432" s="2444"/>
      <c r="Z432" s="2444"/>
      <c r="AA432" s="2444"/>
      <c r="AB432" s="2444"/>
      <c r="AC432" s="2444"/>
      <c r="AD432" s="2444"/>
      <c r="AE432" s="2444"/>
      <c r="AL432" s="728"/>
      <c r="AM432" s="568"/>
      <c r="AN432" s="595"/>
    </row>
    <row r="433" spans="1:60" s="549" customFormat="1" ht="12.75" customHeight="1">
      <c r="A433" s="536"/>
      <c r="B433" s="14"/>
      <c r="C433" s="735"/>
      <c r="F433" s="2444"/>
      <c r="G433" s="2444"/>
      <c r="H433" s="2444"/>
      <c r="I433" s="2444"/>
      <c r="J433" s="2444"/>
      <c r="K433" s="2444"/>
      <c r="L433" s="2444"/>
      <c r="M433" s="2444"/>
      <c r="N433" s="2444"/>
      <c r="O433" s="2444"/>
      <c r="P433" s="2444"/>
      <c r="Q433" s="2444"/>
      <c r="R433" s="2444"/>
      <c r="S433" s="2444"/>
      <c r="T433" s="2444"/>
      <c r="U433" s="2444"/>
      <c r="V433" s="2444"/>
      <c r="W433" s="2444"/>
      <c r="X433" s="2444"/>
      <c r="Y433" s="2444"/>
      <c r="Z433" s="2444"/>
      <c r="AA433" s="2444"/>
      <c r="AB433" s="2444"/>
      <c r="AC433" s="2444"/>
      <c r="AD433" s="2444"/>
      <c r="AE433" s="2444"/>
      <c r="AL433" s="728"/>
      <c r="AM433" s="568"/>
      <c r="AN433" s="595"/>
    </row>
    <row r="434" spans="1:60" s="549" customFormat="1" ht="12.75" customHeight="1">
      <c r="A434" s="536"/>
      <c r="B434" s="14"/>
      <c r="C434" s="2468" t="s">
        <v>590</v>
      </c>
      <c r="D434" s="2415"/>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4" t="s">
        <v>1451</v>
      </c>
      <c r="AG434" s="2394"/>
      <c r="AH434" s="2394"/>
      <c r="AI434" s="2394"/>
      <c r="AJ434" s="2394"/>
      <c r="AK434" s="2394"/>
      <c r="AL434" s="2475"/>
      <c r="AM434" s="568"/>
      <c r="AN434" s="595"/>
    </row>
    <row r="435" spans="1:60" s="549" customFormat="1" ht="12.75" customHeight="1">
      <c r="A435" s="536"/>
      <c r="B435" s="14"/>
      <c r="C435" s="735"/>
      <c r="AL435" s="728"/>
      <c r="AM435" s="568"/>
      <c r="AN435" s="595"/>
    </row>
    <row r="436" spans="1:60" s="549" customFormat="1" ht="12.75" customHeight="1">
      <c r="A436" s="536"/>
      <c r="B436" s="14"/>
      <c r="C436" s="2468" t="s">
        <v>590</v>
      </c>
      <c r="D436" s="2415"/>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4" t="s">
        <v>1463</v>
      </c>
      <c r="AG436" s="2394"/>
      <c r="AH436" s="2394"/>
      <c r="AI436" s="2394"/>
      <c r="AJ436" s="2394"/>
      <c r="AK436" s="2394"/>
      <c r="AL436" s="247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3" t="s">
        <v>1471</v>
      </c>
      <c r="G440" s="2443"/>
      <c r="H440" s="2443"/>
      <c r="I440" s="2443"/>
      <c r="J440" s="2443"/>
      <c r="K440" s="2443"/>
      <c r="L440" s="2443"/>
      <c r="M440" s="2443"/>
      <c r="N440" s="2443"/>
      <c r="O440" s="2443"/>
      <c r="P440" s="2443"/>
      <c r="Q440" s="2443"/>
      <c r="R440" s="2443"/>
      <c r="S440" s="2443"/>
      <c r="T440" s="2443"/>
      <c r="U440" s="2443"/>
      <c r="V440" s="2443"/>
      <c r="W440" s="2443"/>
      <c r="X440" s="2443"/>
      <c r="Y440" s="2443"/>
      <c r="Z440" s="2443"/>
      <c r="AA440" s="2443"/>
      <c r="AB440" s="2443"/>
      <c r="AC440" s="2443"/>
      <c r="AD440" s="2443"/>
      <c r="AE440" s="2443"/>
      <c r="AF440" s="710"/>
      <c r="AG440" s="710"/>
      <c r="AH440" s="710"/>
      <c r="AI440" s="710"/>
      <c r="AJ440" s="710"/>
      <c r="AK440" s="710"/>
      <c r="AL440" s="741"/>
      <c r="AM440" s="568"/>
      <c r="AN440" s="595"/>
    </row>
    <row r="441" spans="1:60" s="549" customFormat="1" ht="12.75" customHeight="1">
      <c r="A441" s="536"/>
      <c r="B441" s="14"/>
      <c r="C441" s="727"/>
      <c r="D441" s="14"/>
      <c r="E441" s="687"/>
      <c r="F441" s="2444"/>
      <c r="G441" s="2444"/>
      <c r="H441" s="2444"/>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44"/>
      <c r="AD441" s="2444"/>
      <c r="AE441" s="2444"/>
      <c r="AF441" s="539"/>
      <c r="AG441" s="536"/>
      <c r="AL441" s="728"/>
      <c r="AM441" s="568"/>
      <c r="AN441" s="595"/>
    </row>
    <row r="442" spans="1:60" s="549" customFormat="1" ht="12.4" customHeight="1">
      <c r="A442" s="536"/>
      <c r="B442" s="14"/>
      <c r="C442" s="727"/>
      <c r="D442" s="14"/>
      <c r="E442" s="687"/>
      <c r="F442" s="2444"/>
      <c r="G442" s="2444"/>
      <c r="H442" s="2444"/>
      <c r="I442" s="2444"/>
      <c r="J442" s="2444"/>
      <c r="K442" s="2444"/>
      <c r="L442" s="2444"/>
      <c r="M442" s="2444"/>
      <c r="N442" s="2444"/>
      <c r="O442" s="2444"/>
      <c r="P442" s="2444"/>
      <c r="Q442" s="2444"/>
      <c r="R442" s="2444"/>
      <c r="S442" s="2444"/>
      <c r="T442" s="2444"/>
      <c r="U442" s="2444"/>
      <c r="V442" s="2444"/>
      <c r="W442" s="2444"/>
      <c r="X442" s="2444"/>
      <c r="Y442" s="2444"/>
      <c r="Z442" s="2444"/>
      <c r="AA442" s="2444"/>
      <c r="AB442" s="2444"/>
      <c r="AC442" s="2444"/>
      <c r="AD442" s="2444"/>
      <c r="AE442" s="2444"/>
      <c r="AL442" s="728"/>
      <c r="AM442" s="568"/>
      <c r="AN442" s="595"/>
    </row>
    <row r="443" spans="1:60" s="549" customFormat="1" ht="12.75" customHeight="1">
      <c r="A443" s="536"/>
      <c r="B443" s="14"/>
      <c r="C443" s="2468" t="s">
        <v>590</v>
      </c>
      <c r="D443" s="2415"/>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4" t="s">
        <v>1451</v>
      </c>
      <c r="AG443" s="2394"/>
      <c r="AH443" s="2394"/>
      <c r="AI443" s="2394"/>
      <c r="AJ443" s="2394"/>
      <c r="AK443" s="2394"/>
      <c r="AL443" s="247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43" t="s">
        <v>1474</v>
      </c>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743"/>
      <c r="AG446" s="743"/>
      <c r="AH446" s="743"/>
      <c r="AI446" s="743"/>
      <c r="AJ446" s="743"/>
      <c r="AK446" s="743"/>
      <c r="AL446" s="744"/>
      <c r="AM446" s="568"/>
      <c r="AO446" s="549"/>
      <c r="AP446" s="549"/>
      <c r="BD446" s="14"/>
      <c r="BE446" s="14"/>
      <c r="BF446" s="14"/>
      <c r="BG446" s="14"/>
      <c r="BH446" s="14"/>
    </row>
    <row r="447" spans="1:60">
      <c r="A447" s="536"/>
      <c r="C447" s="727"/>
      <c r="E447" s="687"/>
      <c r="F447" s="2444"/>
      <c r="G447" s="2444"/>
      <c r="H447" s="2444"/>
      <c r="I447" s="2444"/>
      <c r="J447" s="2444"/>
      <c r="K447" s="2444"/>
      <c r="L447" s="2444"/>
      <c r="M447" s="2444"/>
      <c r="N447" s="2444"/>
      <c r="O447" s="2444"/>
      <c r="P447" s="2444"/>
      <c r="Q447" s="2444"/>
      <c r="R447" s="2444"/>
      <c r="S447" s="2444"/>
      <c r="T447" s="2444"/>
      <c r="U447" s="2444"/>
      <c r="V447" s="2444"/>
      <c r="W447" s="2444"/>
      <c r="X447" s="2444"/>
      <c r="Y447" s="2444"/>
      <c r="Z447" s="2444"/>
      <c r="AA447" s="2444"/>
      <c r="AB447" s="2444"/>
      <c r="AC447" s="2444"/>
      <c r="AD447" s="2444"/>
      <c r="AE447" s="2444"/>
      <c r="AF447" s="592"/>
      <c r="AG447" s="592"/>
      <c r="AH447" s="592"/>
      <c r="AI447" s="592"/>
      <c r="AJ447" s="592"/>
      <c r="AK447" s="592"/>
      <c r="AL447" s="746"/>
      <c r="AM447" s="568"/>
      <c r="AO447" s="549"/>
      <c r="AP447" s="549"/>
    </row>
    <row r="448" spans="1:60" s="549" customFormat="1" ht="12.75" customHeight="1">
      <c r="A448" s="536"/>
      <c r="B448" s="14"/>
      <c r="C448" s="727"/>
      <c r="D448" s="14"/>
      <c r="E448" s="687"/>
      <c r="F448" s="2444"/>
      <c r="G448" s="2444"/>
      <c r="H448" s="2444"/>
      <c r="I448" s="2444"/>
      <c r="J448" s="2444"/>
      <c r="K448" s="2444"/>
      <c r="L448" s="2444"/>
      <c r="M448" s="2444"/>
      <c r="N448" s="2444"/>
      <c r="O448" s="2444"/>
      <c r="P448" s="2444"/>
      <c r="Q448" s="2444"/>
      <c r="R448" s="2444"/>
      <c r="S448" s="2444"/>
      <c r="T448" s="2444"/>
      <c r="U448" s="2444"/>
      <c r="V448" s="2444"/>
      <c r="W448" s="2444"/>
      <c r="X448" s="2444"/>
      <c r="Y448" s="2444"/>
      <c r="Z448" s="2444"/>
      <c r="AA448" s="2444"/>
      <c r="AB448" s="2444"/>
      <c r="AC448" s="2444"/>
      <c r="AD448" s="2444"/>
      <c r="AE448" s="2444"/>
      <c r="AF448" s="592"/>
      <c r="AG448" s="592"/>
      <c r="AH448" s="592"/>
      <c r="AI448" s="592"/>
      <c r="AJ448" s="592"/>
      <c r="AK448" s="592"/>
      <c r="AL448" s="746"/>
      <c r="AM448" s="568"/>
      <c r="AN448" s="595"/>
    </row>
    <row r="449" spans="1:42" s="549" customFormat="1" ht="12.75" customHeight="1">
      <c r="A449" s="536"/>
      <c r="B449" s="14"/>
      <c r="C449" s="747"/>
      <c r="D449" s="726"/>
      <c r="E449" s="715"/>
      <c r="F449" s="2444"/>
      <c r="G449" s="2444"/>
      <c r="H449" s="2444"/>
      <c r="I449" s="2444"/>
      <c r="J449" s="2444"/>
      <c r="K449" s="2444"/>
      <c r="L449" s="2444"/>
      <c r="M449" s="2444"/>
      <c r="N449" s="2444"/>
      <c r="O449" s="2444"/>
      <c r="P449" s="2444"/>
      <c r="Q449" s="2444"/>
      <c r="R449" s="2444"/>
      <c r="S449" s="2444"/>
      <c r="T449" s="2444"/>
      <c r="U449" s="2444"/>
      <c r="V449" s="2444"/>
      <c r="W449" s="2444"/>
      <c r="X449" s="2444"/>
      <c r="Y449" s="2444"/>
      <c r="Z449" s="2444"/>
      <c r="AA449" s="2444"/>
      <c r="AB449" s="2444"/>
      <c r="AC449" s="2444"/>
      <c r="AD449" s="2444"/>
      <c r="AE449" s="244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4"/>
      <c r="G450" s="2444"/>
      <c r="H450" s="2444"/>
      <c r="I450" s="2444"/>
      <c r="J450" s="2444"/>
      <c r="K450" s="2444"/>
      <c r="L450" s="2444"/>
      <c r="M450" s="2444"/>
      <c r="N450" s="2444"/>
      <c r="O450" s="2444"/>
      <c r="P450" s="2444"/>
      <c r="Q450" s="2444"/>
      <c r="R450" s="2444"/>
      <c r="S450" s="2444"/>
      <c r="T450" s="2444"/>
      <c r="U450" s="2444"/>
      <c r="V450" s="2444"/>
      <c r="W450" s="2444"/>
      <c r="X450" s="2444"/>
      <c r="Y450" s="2444"/>
      <c r="Z450" s="2444"/>
      <c r="AA450" s="2444"/>
      <c r="AB450" s="2444"/>
      <c r="AC450" s="2444"/>
      <c r="AD450" s="2444"/>
      <c r="AE450" s="2444"/>
      <c r="AF450" s="592"/>
      <c r="AG450" s="592"/>
      <c r="AH450" s="592"/>
      <c r="AI450" s="592"/>
      <c r="AJ450" s="592"/>
      <c r="AK450" s="592"/>
      <c r="AL450" s="746"/>
      <c r="AM450" s="568"/>
      <c r="AN450" s="595"/>
    </row>
    <row r="451" spans="1:42" s="549" customFormat="1" ht="12.75" customHeight="1">
      <c r="A451" s="536"/>
      <c r="B451" s="14"/>
      <c r="C451" s="747"/>
      <c r="D451" s="726"/>
      <c r="E451" s="715"/>
      <c r="F451" s="2444"/>
      <c r="G451" s="2444"/>
      <c r="H451" s="2444"/>
      <c r="I451" s="2444"/>
      <c r="J451" s="2444"/>
      <c r="K451" s="2444"/>
      <c r="L451" s="2444"/>
      <c r="M451" s="2444"/>
      <c r="N451" s="2444"/>
      <c r="O451" s="2444"/>
      <c r="P451" s="2444"/>
      <c r="Q451" s="2444"/>
      <c r="R451" s="2444"/>
      <c r="S451" s="2444"/>
      <c r="T451" s="2444"/>
      <c r="U451" s="2444"/>
      <c r="V451" s="2444"/>
      <c r="W451" s="2444"/>
      <c r="X451" s="2444"/>
      <c r="Y451" s="2444"/>
      <c r="Z451" s="2444"/>
      <c r="AA451" s="2444"/>
      <c r="AB451" s="2444"/>
      <c r="AC451" s="2444"/>
      <c r="AD451" s="2444"/>
      <c r="AE451" s="2444"/>
      <c r="AF451" s="592"/>
      <c r="AG451" s="592"/>
      <c r="AH451" s="592"/>
      <c r="AI451" s="592"/>
      <c r="AJ451" s="592"/>
      <c r="AK451" s="592"/>
      <c r="AL451" s="746"/>
      <c r="AM451" s="568"/>
      <c r="AN451" s="595"/>
    </row>
    <row r="452" spans="1:42" s="549" customFormat="1" ht="12.75" customHeight="1">
      <c r="A452" s="536"/>
      <c r="B452" s="14"/>
      <c r="C452" s="747"/>
      <c r="D452" s="726"/>
      <c r="E452" s="715"/>
      <c r="F452" s="2444"/>
      <c r="G452" s="2444"/>
      <c r="H452" s="2444"/>
      <c r="I452" s="2444"/>
      <c r="J452" s="2444"/>
      <c r="K452" s="2444"/>
      <c r="L452" s="2444"/>
      <c r="M452" s="2444"/>
      <c r="N452" s="2444"/>
      <c r="O452" s="2444"/>
      <c r="P452" s="2444"/>
      <c r="Q452" s="2444"/>
      <c r="R452" s="2444"/>
      <c r="S452" s="2444"/>
      <c r="T452" s="2444"/>
      <c r="U452" s="2444"/>
      <c r="V452" s="2444"/>
      <c r="W452" s="2444"/>
      <c r="X452" s="2444"/>
      <c r="Y452" s="2444"/>
      <c r="Z452" s="2444"/>
      <c r="AA452" s="2444"/>
      <c r="AB452" s="2444"/>
      <c r="AC452" s="2444"/>
      <c r="AD452" s="2444"/>
      <c r="AE452" s="2444"/>
      <c r="AF452" s="592"/>
      <c r="AG452" s="592"/>
      <c r="AH452" s="592"/>
      <c r="AI452" s="592"/>
      <c r="AJ452" s="592"/>
      <c r="AK452" s="592"/>
      <c r="AL452" s="746"/>
      <c r="AM452" s="568"/>
      <c r="AN452" s="595"/>
    </row>
    <row r="453" spans="1:42" s="549" customFormat="1" ht="12.75" customHeight="1">
      <c r="A453" s="536"/>
      <c r="B453" s="14"/>
      <c r="C453" s="747"/>
      <c r="D453" s="726"/>
      <c r="E453" s="715"/>
      <c r="F453" s="2444"/>
      <c r="G453" s="2444"/>
      <c r="H453" s="2444"/>
      <c r="I453" s="2444"/>
      <c r="J453" s="2444"/>
      <c r="K453" s="2444"/>
      <c r="L453" s="2444"/>
      <c r="M453" s="2444"/>
      <c r="N453" s="2444"/>
      <c r="O453" s="2444"/>
      <c r="P453" s="2444"/>
      <c r="Q453" s="2444"/>
      <c r="R453" s="2444"/>
      <c r="S453" s="2444"/>
      <c r="T453" s="2444"/>
      <c r="U453" s="2444"/>
      <c r="V453" s="2444"/>
      <c r="W453" s="2444"/>
      <c r="X453" s="2444"/>
      <c r="Y453" s="2444"/>
      <c r="Z453" s="2444"/>
      <c r="AA453" s="2444"/>
      <c r="AB453" s="2444"/>
      <c r="AC453" s="2444"/>
      <c r="AD453" s="2444"/>
      <c r="AE453" s="2444"/>
      <c r="AF453" s="592"/>
      <c r="AG453" s="592"/>
      <c r="AH453" s="592"/>
      <c r="AI453" s="592"/>
      <c r="AJ453" s="592"/>
      <c r="AK453" s="592"/>
      <c r="AL453" s="746"/>
      <c r="AM453" s="568"/>
      <c r="AN453" s="595"/>
    </row>
    <row r="454" spans="1:42" s="549" customFormat="1" ht="17.25" customHeight="1">
      <c r="A454" s="536"/>
      <c r="B454" s="14"/>
      <c r="C454" s="747"/>
      <c r="D454" s="726"/>
      <c r="E454" s="715"/>
      <c r="F454" s="2444"/>
      <c r="G454" s="2444"/>
      <c r="H454" s="2444"/>
      <c r="I454" s="2444"/>
      <c r="J454" s="2444"/>
      <c r="K454" s="2444"/>
      <c r="L454" s="2444"/>
      <c r="M454" s="2444"/>
      <c r="N454" s="2444"/>
      <c r="O454" s="2444"/>
      <c r="P454" s="2444"/>
      <c r="Q454" s="2444"/>
      <c r="R454" s="2444"/>
      <c r="S454" s="2444"/>
      <c r="T454" s="2444"/>
      <c r="U454" s="2444"/>
      <c r="V454" s="2444"/>
      <c r="W454" s="2444"/>
      <c r="X454" s="2444"/>
      <c r="Y454" s="2444"/>
      <c r="Z454" s="2444"/>
      <c r="AA454" s="2444"/>
      <c r="AB454" s="2444"/>
      <c r="AC454" s="2444"/>
      <c r="AD454" s="2444"/>
      <c r="AE454" s="2444"/>
      <c r="AL454" s="728"/>
      <c r="AM454" s="568"/>
      <c r="AN454" s="595"/>
    </row>
    <row r="455" spans="1:42" s="549" customFormat="1" ht="12.75" customHeight="1">
      <c r="A455" s="536"/>
      <c r="B455" s="14"/>
      <c r="C455" s="2468" t="s">
        <v>590</v>
      </c>
      <c r="D455" s="2415"/>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4" t="s">
        <v>1451</v>
      </c>
      <c r="AG455" s="2394"/>
      <c r="AH455" s="2394"/>
      <c r="AI455" s="2394"/>
      <c r="AJ455" s="2394"/>
      <c r="AK455" s="2394"/>
      <c r="AL455" s="247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3" t="s">
        <v>1477</v>
      </c>
      <c r="G458" s="2443"/>
      <c r="H458" s="2443"/>
      <c r="I458" s="2443"/>
      <c r="J458" s="2443"/>
      <c r="K458" s="2443"/>
      <c r="L458" s="2443"/>
      <c r="M458" s="2443"/>
      <c r="N458" s="2443"/>
      <c r="O458" s="2443"/>
      <c r="P458" s="2443"/>
      <c r="Q458" s="2443"/>
      <c r="R458" s="2443"/>
      <c r="S458" s="2443"/>
      <c r="T458" s="2443"/>
      <c r="U458" s="2443"/>
      <c r="V458" s="2443"/>
      <c r="W458" s="2443"/>
      <c r="X458" s="2443"/>
      <c r="Y458" s="2443"/>
      <c r="Z458" s="2443"/>
      <c r="AA458" s="2443"/>
      <c r="AB458" s="2443"/>
      <c r="AC458" s="2443"/>
      <c r="AD458" s="2443"/>
      <c r="AE458" s="2443"/>
      <c r="AF458" s="710"/>
      <c r="AG458" s="710"/>
      <c r="AH458" s="710"/>
      <c r="AI458" s="710"/>
      <c r="AJ458" s="710"/>
      <c r="AK458" s="710"/>
      <c r="AL458" s="741"/>
      <c r="AM458" s="568"/>
      <c r="AN458" s="595"/>
    </row>
    <row r="459" spans="1:42" s="549" customFormat="1" ht="12.75" customHeight="1">
      <c r="A459" s="536"/>
      <c r="B459" s="14"/>
      <c r="C459" s="747"/>
      <c r="D459" s="726"/>
      <c r="E459" s="715"/>
      <c r="F459" s="2444"/>
      <c r="G459" s="2444"/>
      <c r="H459" s="2444"/>
      <c r="I459" s="2444"/>
      <c r="J459" s="2444"/>
      <c r="K459" s="2444"/>
      <c r="L459" s="2444"/>
      <c r="M459" s="2444"/>
      <c r="N459" s="2444"/>
      <c r="O459" s="2444"/>
      <c r="P459" s="2444"/>
      <c r="Q459" s="2444"/>
      <c r="R459" s="2444"/>
      <c r="S459" s="2444"/>
      <c r="T459" s="2444"/>
      <c r="U459" s="2444"/>
      <c r="V459" s="2444"/>
      <c r="W459" s="2444"/>
      <c r="X459" s="2444"/>
      <c r="Y459" s="2444"/>
      <c r="Z459" s="2444"/>
      <c r="AA459" s="2444"/>
      <c r="AB459" s="2444"/>
      <c r="AC459" s="2444"/>
      <c r="AD459" s="2444"/>
      <c r="AE459" s="2444"/>
      <c r="AF459" s="589"/>
      <c r="AG459" s="589"/>
      <c r="AH459" s="589"/>
      <c r="AI459" s="589"/>
      <c r="AJ459" s="589"/>
      <c r="AK459" s="589"/>
      <c r="AL459" s="716"/>
      <c r="AM459" s="568"/>
      <c r="AN459" s="595"/>
    </row>
    <row r="460" spans="1:42" s="549" customFormat="1" ht="12.75" customHeight="1">
      <c r="A460" s="536"/>
      <c r="B460" s="14"/>
      <c r="C460" s="747"/>
      <c r="D460" s="726"/>
      <c r="E460" s="715"/>
      <c r="F460" s="2444"/>
      <c r="G460" s="2444"/>
      <c r="H460" s="2444"/>
      <c r="I460" s="2444"/>
      <c r="J460" s="2444"/>
      <c r="K460" s="2444"/>
      <c r="L460" s="2444"/>
      <c r="M460" s="2444"/>
      <c r="N460" s="2444"/>
      <c r="O460" s="2444"/>
      <c r="P460" s="2444"/>
      <c r="Q460" s="2444"/>
      <c r="R460" s="2444"/>
      <c r="S460" s="2444"/>
      <c r="T460" s="2444"/>
      <c r="U460" s="2444"/>
      <c r="V460" s="2444"/>
      <c r="W460" s="2444"/>
      <c r="X460" s="2444"/>
      <c r="Y460" s="2444"/>
      <c r="Z460" s="2444"/>
      <c r="AA460" s="2444"/>
      <c r="AB460" s="2444"/>
      <c r="AC460" s="2444"/>
      <c r="AD460" s="2444"/>
      <c r="AE460" s="2444"/>
      <c r="AF460" s="589"/>
      <c r="AG460" s="589"/>
      <c r="AH460" s="589"/>
      <c r="AI460" s="589"/>
      <c r="AJ460" s="589"/>
      <c r="AK460" s="589"/>
      <c r="AL460" s="716"/>
      <c r="AM460" s="568"/>
      <c r="AN460" s="595"/>
    </row>
    <row r="461" spans="1:42" s="549" customFormat="1" ht="12.75" customHeight="1">
      <c r="A461" s="536"/>
      <c r="B461" s="14"/>
      <c r="C461" s="747"/>
      <c r="D461" s="726"/>
      <c r="E461" s="715"/>
      <c r="F461" s="2444"/>
      <c r="G461" s="2444"/>
      <c r="H461" s="2444"/>
      <c r="I461" s="2444"/>
      <c r="J461" s="2444"/>
      <c r="K461" s="2444"/>
      <c r="L461" s="2444"/>
      <c r="M461" s="2444"/>
      <c r="N461" s="2444"/>
      <c r="O461" s="2444"/>
      <c r="P461" s="2444"/>
      <c r="Q461" s="2444"/>
      <c r="R461" s="2444"/>
      <c r="S461" s="2444"/>
      <c r="T461" s="2444"/>
      <c r="U461" s="2444"/>
      <c r="V461" s="2444"/>
      <c r="W461" s="2444"/>
      <c r="X461" s="2444"/>
      <c r="Y461" s="2444"/>
      <c r="Z461" s="2444"/>
      <c r="AA461" s="2444"/>
      <c r="AB461" s="2444"/>
      <c r="AC461" s="2444"/>
      <c r="AD461" s="2444"/>
      <c r="AE461" s="2444"/>
      <c r="AL461" s="728"/>
      <c r="AM461" s="568"/>
      <c r="AN461" s="595"/>
    </row>
    <row r="462" spans="1:42" s="549" customFormat="1" ht="12.75" customHeight="1">
      <c r="A462" s="536"/>
      <c r="B462" s="14"/>
      <c r="C462" s="2468" t="s">
        <v>590</v>
      </c>
      <c r="D462" s="2415"/>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4" t="s">
        <v>1451</v>
      </c>
      <c r="AG462" s="2394"/>
      <c r="AH462" s="2394"/>
      <c r="AI462" s="2394"/>
      <c r="AJ462" s="2394"/>
      <c r="AK462" s="2394"/>
      <c r="AL462" s="247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3" t="s">
        <v>590</v>
      </c>
      <c r="D466" s="2554"/>
      <c r="E466" s="711" t="s">
        <v>1486</v>
      </c>
      <c r="F466" s="2443" t="s">
        <v>1487</v>
      </c>
      <c r="G466" s="2443"/>
      <c r="H466" s="2443"/>
      <c r="I466" s="2443"/>
      <c r="J466" s="2443"/>
      <c r="K466" s="2443"/>
      <c r="L466" s="2443"/>
      <c r="M466" s="2443"/>
      <c r="N466" s="2443"/>
      <c r="O466" s="2443"/>
      <c r="P466" s="2443"/>
      <c r="Q466" s="2443"/>
      <c r="R466" s="2443"/>
      <c r="S466" s="2443"/>
      <c r="T466" s="2443"/>
      <c r="U466" s="2443"/>
      <c r="V466" s="2443"/>
      <c r="W466" s="2443"/>
      <c r="X466" s="2443"/>
      <c r="Y466" s="2443"/>
      <c r="Z466" s="2443"/>
      <c r="AA466" s="2443"/>
      <c r="AB466" s="2443"/>
      <c r="AC466" s="2443"/>
      <c r="AD466" s="2443"/>
      <c r="AE466" s="2443"/>
      <c r="AF466" s="2471" t="s">
        <v>1451</v>
      </c>
      <c r="AG466" s="2471"/>
      <c r="AH466" s="2471"/>
      <c r="AI466" s="2471"/>
      <c r="AJ466" s="2471"/>
      <c r="AK466" s="2471"/>
      <c r="AL466" s="2472"/>
      <c r="AM466" s="568"/>
      <c r="AN466" s="749"/>
    </row>
    <row r="467" spans="1:40" s="549" customFormat="1" ht="12.75" customHeight="1">
      <c r="A467" s="536"/>
      <c r="B467" s="14"/>
      <c r="C467" s="747"/>
      <c r="D467" s="726"/>
      <c r="E467" s="715"/>
      <c r="F467" s="2444"/>
      <c r="G467" s="2444"/>
      <c r="H467" s="2444"/>
      <c r="I467" s="2444"/>
      <c r="J467" s="2444"/>
      <c r="K467" s="2444"/>
      <c r="L467" s="2444"/>
      <c r="M467" s="2444"/>
      <c r="N467" s="2444"/>
      <c r="O467" s="2444"/>
      <c r="P467" s="2444"/>
      <c r="Q467" s="2444"/>
      <c r="R467" s="2444"/>
      <c r="S467" s="2444"/>
      <c r="T467" s="2444"/>
      <c r="U467" s="2444"/>
      <c r="V467" s="2444"/>
      <c r="W467" s="2444"/>
      <c r="X467" s="2444"/>
      <c r="Y467" s="2444"/>
      <c r="Z467" s="2444"/>
      <c r="AA467" s="2444"/>
      <c r="AB467" s="2444"/>
      <c r="AC467" s="2444"/>
      <c r="AD467" s="2444"/>
      <c r="AE467" s="2444"/>
      <c r="AF467" s="589"/>
      <c r="AG467" s="589"/>
      <c r="AH467" s="589"/>
      <c r="AI467" s="589"/>
      <c r="AJ467" s="589"/>
      <c r="AK467" s="589"/>
      <c r="AL467" s="716"/>
      <c r="AM467" s="568"/>
      <c r="AN467" s="750"/>
    </row>
    <row r="468" spans="1:40" s="549" customFormat="1" ht="17.649999999999999" customHeight="1">
      <c r="A468" s="536"/>
      <c r="B468" s="14"/>
      <c r="C468" s="752"/>
      <c r="D468" s="719"/>
      <c r="E468" s="720"/>
      <c r="F468" s="2445"/>
      <c r="G468" s="2445"/>
      <c r="H468" s="2445"/>
      <c r="I468" s="2445"/>
      <c r="J468" s="2445"/>
      <c r="K468" s="2445"/>
      <c r="L468" s="2445"/>
      <c r="M468" s="2445"/>
      <c r="N468" s="2445"/>
      <c r="O468" s="2445"/>
      <c r="P468" s="2445"/>
      <c r="Q468" s="2445"/>
      <c r="R468" s="2445"/>
      <c r="S468" s="2445"/>
      <c r="T468" s="2445"/>
      <c r="U468" s="2445"/>
      <c r="V468" s="2445"/>
      <c r="W468" s="2445"/>
      <c r="X468" s="2445"/>
      <c r="Y468" s="2445"/>
      <c r="Z468" s="2445"/>
      <c r="AA468" s="2445"/>
      <c r="AB468" s="2445"/>
      <c r="AC468" s="2445"/>
      <c r="AD468" s="2445"/>
      <c r="AE468" s="24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8" t="s">
        <v>590</v>
      </c>
      <c r="D470" s="2415"/>
      <c r="E470" s="711" t="s">
        <v>1492</v>
      </c>
      <c r="F470" s="2443" t="s">
        <v>1493</v>
      </c>
      <c r="G470" s="2443"/>
      <c r="H470" s="2443"/>
      <c r="I470" s="2443"/>
      <c r="J470" s="2443"/>
      <c r="K470" s="2443"/>
      <c r="L470" s="2443"/>
      <c r="M470" s="2443"/>
      <c r="N470" s="2443"/>
      <c r="O470" s="2443"/>
      <c r="P470" s="2443"/>
      <c r="Q470" s="2443"/>
      <c r="R470" s="2443"/>
      <c r="S470" s="2443"/>
      <c r="T470" s="2443"/>
      <c r="U470" s="2443"/>
      <c r="V470" s="2443"/>
      <c r="W470" s="2443"/>
      <c r="X470" s="2443"/>
      <c r="Y470" s="2443"/>
      <c r="Z470" s="2443"/>
      <c r="AA470" s="2443"/>
      <c r="AB470" s="2443"/>
      <c r="AC470" s="2443"/>
      <c r="AD470" s="2443"/>
      <c r="AE470" s="2443"/>
      <c r="AF470" s="2471" t="s">
        <v>1451</v>
      </c>
      <c r="AG470" s="2471"/>
      <c r="AH470" s="2471"/>
      <c r="AI470" s="2471"/>
      <c r="AJ470" s="2471"/>
      <c r="AK470" s="2471"/>
      <c r="AL470" s="2472"/>
      <c r="AM470" s="568"/>
      <c r="AN470" s="535"/>
    </row>
    <row r="471" spans="1:40" s="549" customFormat="1" ht="12.75" customHeight="1">
      <c r="A471" s="536"/>
      <c r="B471" s="14"/>
      <c r="C471" s="727"/>
      <c r="D471" s="14"/>
      <c r="E471" s="687"/>
      <c r="F471" s="2444"/>
      <c r="G471" s="2444"/>
      <c r="H471" s="2444"/>
      <c r="I471" s="2444"/>
      <c r="J471" s="2444"/>
      <c r="K471" s="2444"/>
      <c r="L471" s="2444"/>
      <c r="M471" s="2444"/>
      <c r="N471" s="2444"/>
      <c r="O471" s="2444"/>
      <c r="P471" s="2444"/>
      <c r="Q471" s="2444"/>
      <c r="R471" s="2444"/>
      <c r="S471" s="2444"/>
      <c r="T471" s="2444"/>
      <c r="U471" s="2444"/>
      <c r="V471" s="2444"/>
      <c r="W471" s="2444"/>
      <c r="X471" s="2444"/>
      <c r="Y471" s="2444"/>
      <c r="Z471" s="2444"/>
      <c r="AA471" s="2444"/>
      <c r="AB471" s="2444"/>
      <c r="AC471" s="2444"/>
      <c r="AD471" s="2444"/>
      <c r="AE471" s="2444"/>
      <c r="AF471" s="539"/>
      <c r="AG471" s="536"/>
      <c r="AL471" s="728"/>
      <c r="AM471" s="568"/>
      <c r="AN471" s="535"/>
    </row>
    <row r="472" spans="1:40" s="549" customFormat="1" ht="12.75" customHeight="1">
      <c r="A472" s="536"/>
      <c r="B472" s="14"/>
      <c r="C472" s="727"/>
      <c r="D472" s="14"/>
      <c r="E472" s="687"/>
      <c r="F472" s="2444"/>
      <c r="G472" s="2444"/>
      <c r="H472" s="2444"/>
      <c r="I472" s="2444"/>
      <c r="J472" s="2444"/>
      <c r="K472" s="2444"/>
      <c r="L472" s="2444"/>
      <c r="M472" s="2444"/>
      <c r="N472" s="2444"/>
      <c r="O472" s="2444"/>
      <c r="P472" s="2444"/>
      <c r="Q472" s="2444"/>
      <c r="R472" s="2444"/>
      <c r="S472" s="2444"/>
      <c r="T472" s="2444"/>
      <c r="U472" s="2444"/>
      <c r="V472" s="2444"/>
      <c r="W472" s="2444"/>
      <c r="X472" s="2444"/>
      <c r="Y472" s="2444"/>
      <c r="Z472" s="2444"/>
      <c r="AA472" s="2444"/>
      <c r="AB472" s="2444"/>
      <c r="AC472" s="2444"/>
      <c r="AD472" s="2444"/>
      <c r="AE472" s="2444"/>
      <c r="AF472" s="539"/>
      <c r="AG472" s="536"/>
      <c r="AL472" s="728"/>
      <c r="AM472" s="568"/>
      <c r="AN472" s="535"/>
    </row>
    <row r="473" spans="1:40" s="549" customFormat="1" ht="12.75" customHeight="1">
      <c r="A473" s="536"/>
      <c r="B473" s="14"/>
      <c r="C473" s="752"/>
      <c r="D473" s="719"/>
      <c r="E473" s="720"/>
      <c r="F473" s="2445"/>
      <c r="G473" s="2445"/>
      <c r="H473" s="2445"/>
      <c r="I473" s="2445"/>
      <c r="J473" s="2445"/>
      <c r="K473" s="2445"/>
      <c r="L473" s="2445"/>
      <c r="M473" s="2445"/>
      <c r="N473" s="2445"/>
      <c r="O473" s="2445"/>
      <c r="P473" s="2445"/>
      <c r="Q473" s="2445"/>
      <c r="R473" s="2445"/>
      <c r="S473" s="2445"/>
      <c r="T473" s="2445"/>
      <c r="U473" s="2445"/>
      <c r="V473" s="2445"/>
      <c r="W473" s="2445"/>
      <c r="X473" s="2445"/>
      <c r="Y473" s="2445"/>
      <c r="Z473" s="2445"/>
      <c r="AA473" s="2445"/>
      <c r="AB473" s="2445"/>
      <c r="AC473" s="2445"/>
      <c r="AD473" s="2445"/>
      <c r="AE473" s="24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3" t="s">
        <v>1496</v>
      </c>
      <c r="G475" s="2443"/>
      <c r="H475" s="2443"/>
      <c r="I475" s="2443"/>
      <c r="J475" s="2443"/>
      <c r="K475" s="2443"/>
      <c r="L475" s="2443"/>
      <c r="M475" s="2443"/>
      <c r="N475" s="2443"/>
      <c r="O475" s="2443"/>
      <c r="P475" s="2443"/>
      <c r="Q475" s="2443"/>
      <c r="R475" s="2443"/>
      <c r="S475" s="2443"/>
      <c r="T475" s="2443"/>
      <c r="U475" s="2443"/>
      <c r="V475" s="2443"/>
      <c r="W475" s="2443"/>
      <c r="X475" s="2443"/>
      <c r="Y475" s="2443"/>
      <c r="Z475" s="2443"/>
      <c r="AA475" s="2443"/>
      <c r="AB475" s="2443"/>
      <c r="AC475" s="2443"/>
      <c r="AD475" s="2443"/>
      <c r="AE475" s="2443"/>
      <c r="AF475" s="2443"/>
      <c r="AG475" s="740"/>
      <c r="AH475" s="710"/>
      <c r="AI475" s="710"/>
      <c r="AJ475" s="710"/>
      <c r="AK475" s="710"/>
      <c r="AL475" s="741"/>
      <c r="AM475" s="568"/>
      <c r="AN475" s="595"/>
    </row>
    <row r="476" spans="1:40" s="549" customFormat="1" ht="12.75" customHeight="1">
      <c r="A476" s="536"/>
      <c r="B476" s="14"/>
      <c r="C476" s="727"/>
      <c r="D476" s="14"/>
      <c r="E476" s="687"/>
      <c r="F476" s="2444"/>
      <c r="G476" s="2444"/>
      <c r="H476" s="2444"/>
      <c r="I476" s="2444"/>
      <c r="J476" s="2444"/>
      <c r="K476" s="2444"/>
      <c r="L476" s="2444"/>
      <c r="M476" s="2444"/>
      <c r="N476" s="2444"/>
      <c r="O476" s="2444"/>
      <c r="P476" s="2444"/>
      <c r="Q476" s="2444"/>
      <c r="R476" s="2444"/>
      <c r="S476" s="2444"/>
      <c r="T476" s="2444"/>
      <c r="U476" s="2444"/>
      <c r="V476" s="2444"/>
      <c r="W476" s="2444"/>
      <c r="X476" s="2444"/>
      <c r="Y476" s="2444"/>
      <c r="Z476" s="2444"/>
      <c r="AA476" s="2444"/>
      <c r="AB476" s="2444"/>
      <c r="AC476" s="2444"/>
      <c r="AD476" s="2444"/>
      <c r="AE476" s="2444"/>
      <c r="AF476" s="2444"/>
      <c r="AL476" s="728"/>
      <c r="AM476" s="568"/>
      <c r="AN476" s="595"/>
    </row>
    <row r="477" spans="1:40" s="549" customFormat="1" ht="12.75" customHeight="1">
      <c r="A477" s="536"/>
      <c r="B477" s="14"/>
      <c r="C477" s="735"/>
      <c r="F477" s="2444"/>
      <c r="G477" s="2444"/>
      <c r="H477" s="2444"/>
      <c r="I477" s="2444"/>
      <c r="J477" s="2444"/>
      <c r="K477" s="2444"/>
      <c r="L477" s="2444"/>
      <c r="M477" s="2444"/>
      <c r="N477" s="2444"/>
      <c r="O477" s="2444"/>
      <c r="P477" s="2444"/>
      <c r="Q477" s="2444"/>
      <c r="R477" s="2444"/>
      <c r="S477" s="2444"/>
      <c r="T477" s="2444"/>
      <c r="U477" s="2444"/>
      <c r="V477" s="2444"/>
      <c r="W477" s="2444"/>
      <c r="X477" s="2444"/>
      <c r="Y477" s="2444"/>
      <c r="Z477" s="2444"/>
      <c r="AA477" s="2444"/>
      <c r="AB477" s="2444"/>
      <c r="AC477" s="2444"/>
      <c r="AD477" s="2444"/>
      <c r="AE477" s="2444"/>
      <c r="AF477" s="2444"/>
      <c r="AL477" s="728"/>
      <c r="AM477" s="568"/>
      <c r="AN477" s="595"/>
    </row>
    <row r="478" spans="1:40" s="549" customFormat="1" ht="12.75" customHeight="1">
      <c r="A478" s="536"/>
      <c r="B478" s="14"/>
      <c r="C478" s="735"/>
      <c r="F478" s="2444"/>
      <c r="G478" s="2444"/>
      <c r="H478" s="2444"/>
      <c r="I478" s="2444"/>
      <c r="J478" s="2444"/>
      <c r="K478" s="2444"/>
      <c r="L478" s="2444"/>
      <c r="M478" s="2444"/>
      <c r="N478" s="2444"/>
      <c r="O478" s="2444"/>
      <c r="P478" s="2444"/>
      <c r="Q478" s="2444"/>
      <c r="R478" s="2444"/>
      <c r="S478" s="2444"/>
      <c r="T478" s="2444"/>
      <c r="U478" s="2444"/>
      <c r="V478" s="2444"/>
      <c r="W478" s="2444"/>
      <c r="X478" s="2444"/>
      <c r="Y478" s="2444"/>
      <c r="Z478" s="2444"/>
      <c r="AA478" s="2444"/>
      <c r="AB478" s="2444"/>
      <c r="AC478" s="2444"/>
      <c r="AD478" s="2444"/>
      <c r="AE478" s="2444"/>
      <c r="AF478" s="2444"/>
      <c r="AL478" s="728"/>
      <c r="AM478" s="568"/>
      <c r="AN478" s="595"/>
    </row>
    <row r="479" spans="1:40" s="549" customFormat="1" ht="12.75" customHeight="1">
      <c r="A479" s="536"/>
      <c r="B479" s="14"/>
      <c r="C479" s="2468" t="s">
        <v>590</v>
      </c>
      <c r="D479" s="2415"/>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9" t="s">
        <v>1451</v>
      </c>
      <c r="AG479" s="2469"/>
      <c r="AH479" s="2469"/>
      <c r="AI479" s="2469"/>
      <c r="AJ479" s="2469"/>
      <c r="AK479" s="2469"/>
      <c r="AL479" s="247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6">
        <f>IF(Application!D214="N/A",AS371,AS373)</f>
        <v>10</v>
      </c>
      <c r="AL482" s="2442"/>
      <c r="AM482" s="239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9" t="s">
        <v>1500</v>
      </c>
      <c r="AF485" s="2469"/>
      <c r="AG485" s="2469"/>
      <c r="AH485" s="2469"/>
      <c r="AI485" s="2469"/>
      <c r="AJ485" s="2469"/>
      <c r="AK485" s="2469"/>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8" t="s">
        <v>590</v>
      </c>
      <c r="D491" s="2419"/>
      <c r="E491" s="757" t="s">
        <v>506</v>
      </c>
      <c r="F491" s="2454" t="s">
        <v>1506</v>
      </c>
      <c r="G491" s="2454"/>
      <c r="H491" s="2454"/>
      <c r="I491" s="2454"/>
      <c r="J491" s="2454"/>
      <c r="K491" s="2454"/>
      <c r="L491" s="2454"/>
      <c r="M491" s="2454"/>
      <c r="N491" s="2454"/>
      <c r="O491" s="2454"/>
      <c r="P491" s="2454"/>
      <c r="Q491" s="2454"/>
      <c r="R491" s="2454"/>
      <c r="S491" s="2454"/>
      <c r="T491" s="2454"/>
      <c r="U491" s="2454"/>
      <c r="V491" s="2454"/>
      <c r="W491" s="2454"/>
      <c r="X491" s="2454"/>
      <c r="Y491" s="2454"/>
      <c r="Z491" s="2454"/>
      <c r="AA491" s="2454"/>
      <c r="AB491" s="2454"/>
      <c r="AC491" s="2454"/>
      <c r="AD491" s="2454"/>
      <c r="AE491" s="2454"/>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5"/>
      <c r="G492" s="2455"/>
      <c r="H492" s="2455"/>
      <c r="I492" s="2455"/>
      <c r="J492" s="2455"/>
      <c r="K492" s="2455"/>
      <c r="L492" s="2455"/>
      <c r="M492" s="2455"/>
      <c r="N492" s="2455"/>
      <c r="O492" s="2455"/>
      <c r="P492" s="2455"/>
      <c r="Q492" s="2455"/>
      <c r="R492" s="2455"/>
      <c r="S492" s="2455"/>
      <c r="T492" s="2455"/>
      <c r="U492" s="2455"/>
      <c r="V492" s="2455"/>
      <c r="W492" s="2455"/>
      <c r="X492" s="2455"/>
      <c r="Y492" s="2455"/>
      <c r="Z492" s="2455"/>
      <c r="AA492" s="2455"/>
      <c r="AB492" s="2455"/>
      <c r="AC492" s="2455"/>
      <c r="AD492" s="2455"/>
      <c r="AE492" s="2455"/>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52" t="s">
        <v>590</v>
      </c>
      <c r="G493" s="2452"/>
      <c r="H493" s="2452"/>
      <c r="I493" s="2452"/>
      <c r="J493" s="2452"/>
      <c r="K493" s="2452"/>
      <c r="L493" s="2452"/>
      <c r="M493" s="2452"/>
      <c r="N493" s="2452"/>
      <c r="O493" s="2452"/>
      <c r="P493" s="2452"/>
      <c r="Q493" s="2452"/>
      <c r="R493" s="2452"/>
      <c r="S493" s="2452"/>
      <c r="T493" s="2452"/>
      <c r="U493" s="2452"/>
      <c r="V493" s="2452"/>
      <c r="W493" s="2452"/>
      <c r="X493" s="2452"/>
      <c r="Y493" s="2452"/>
      <c r="Z493" s="2452"/>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1" t="s">
        <v>544</v>
      </c>
      <c r="D495" s="2422"/>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51" t="s">
        <v>590</v>
      </c>
      <c r="W498" s="2451"/>
      <c r="X498" s="2451"/>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51" t="s">
        <v>590</v>
      </c>
      <c r="W500" s="2451"/>
      <c r="X500" s="2451"/>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51" t="s">
        <v>590</v>
      </c>
      <c r="W505" s="2451"/>
      <c r="X505" s="2451"/>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0"/>
      <c r="E508" s="2420"/>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51" t="s">
        <v>590</v>
      </c>
      <c r="W509" s="2451"/>
      <c r="X509" s="2451"/>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51" t="s">
        <v>590</v>
      </c>
      <c r="W511" s="2451"/>
      <c r="X511" s="2451"/>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8" t="s">
        <v>590</v>
      </c>
      <c r="D514" s="2419"/>
      <c r="E514" s="757" t="s">
        <v>506</v>
      </c>
      <c r="F514" s="2454" t="s">
        <v>1506</v>
      </c>
      <c r="G514" s="2454"/>
      <c r="H514" s="2454"/>
      <c r="I514" s="2454"/>
      <c r="J514" s="2454"/>
      <c r="K514" s="2454"/>
      <c r="L514" s="2454"/>
      <c r="M514" s="2454"/>
      <c r="N514" s="2454"/>
      <c r="O514" s="2454"/>
      <c r="P514" s="2454"/>
      <c r="Q514" s="2454"/>
      <c r="R514" s="2454"/>
      <c r="S514" s="2454"/>
      <c r="T514" s="2454"/>
      <c r="U514" s="2454"/>
      <c r="V514" s="2454"/>
      <c r="W514" s="2454"/>
      <c r="X514" s="2454"/>
      <c r="Y514" s="2454"/>
      <c r="Z514" s="2454"/>
      <c r="AA514" s="2454"/>
      <c r="AB514" s="2454"/>
      <c r="AC514" s="2454"/>
      <c r="AD514" s="2454"/>
      <c r="AE514" s="245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5"/>
      <c r="G515" s="2455"/>
      <c r="H515" s="2455"/>
      <c r="I515" s="2455"/>
      <c r="J515" s="2455"/>
      <c r="K515" s="2455"/>
      <c r="L515" s="2455"/>
      <c r="M515" s="2455"/>
      <c r="N515" s="2455"/>
      <c r="O515" s="2455"/>
      <c r="P515" s="2455"/>
      <c r="Q515" s="2455"/>
      <c r="R515" s="2455"/>
      <c r="S515" s="2455"/>
      <c r="T515" s="2455"/>
      <c r="U515" s="2455"/>
      <c r="V515" s="2455"/>
      <c r="W515" s="2455"/>
      <c r="X515" s="2455"/>
      <c r="Y515" s="2455"/>
      <c r="Z515" s="2455"/>
      <c r="AA515" s="2455"/>
      <c r="AB515" s="2455"/>
      <c r="AC515" s="2455"/>
      <c r="AD515" s="2455"/>
      <c r="AE515" s="245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7" t="s">
        <v>590</v>
      </c>
      <c r="G516" s="2447"/>
      <c r="H516" s="2447"/>
      <c r="I516" s="2447"/>
      <c r="J516" s="2447"/>
      <c r="K516" s="2447"/>
      <c r="L516" s="2447"/>
      <c r="M516" s="2447"/>
      <c r="N516" s="2447"/>
      <c r="O516" s="2447"/>
      <c r="P516" s="2447"/>
      <c r="Q516" s="2447"/>
      <c r="R516" s="2447"/>
      <c r="S516" s="2447"/>
      <c r="T516" s="2447"/>
      <c r="U516" s="2447"/>
      <c r="V516" s="2447"/>
      <c r="W516" s="2447"/>
      <c r="X516" s="2447"/>
      <c r="Y516" s="2447"/>
      <c r="Z516" s="2447"/>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8" t="s">
        <v>590</v>
      </c>
      <c r="D518" s="2419"/>
      <c r="E518" s="757" t="s">
        <v>756</v>
      </c>
      <c r="F518" s="2448" t="s">
        <v>1528</v>
      </c>
      <c r="G518" s="2448"/>
      <c r="H518" s="2448"/>
      <c r="I518" s="2448"/>
      <c r="J518" s="2448"/>
      <c r="K518" s="2448"/>
      <c r="L518" s="2448"/>
      <c r="M518" s="2448"/>
      <c r="N518" s="2448"/>
      <c r="O518" s="2448"/>
      <c r="P518" s="2448"/>
      <c r="Q518" s="2448"/>
      <c r="R518" s="2448"/>
      <c r="S518" s="2448"/>
      <c r="T518" s="2448"/>
      <c r="U518" s="2448"/>
      <c r="V518" s="2448"/>
      <c r="W518" s="2448"/>
      <c r="X518" s="2448"/>
      <c r="Y518" s="2448"/>
      <c r="Z518" s="2448"/>
      <c r="AA518" s="2448"/>
      <c r="AB518" s="2448"/>
      <c r="AC518" s="2448"/>
      <c r="AD518" s="2448"/>
      <c r="AE518" s="2448"/>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9"/>
      <c r="G519" s="2449"/>
      <c r="H519" s="2449"/>
      <c r="I519" s="2449"/>
      <c r="J519" s="2449"/>
      <c r="K519" s="2449"/>
      <c r="L519" s="2449"/>
      <c r="M519" s="2449"/>
      <c r="N519" s="2449"/>
      <c r="O519" s="2449"/>
      <c r="P519" s="2449"/>
      <c r="Q519" s="2449"/>
      <c r="R519" s="2449"/>
      <c r="S519" s="2449"/>
      <c r="T519" s="2449"/>
      <c r="U519" s="2449"/>
      <c r="V519" s="2449"/>
      <c r="W519" s="2449"/>
      <c r="X519" s="2449"/>
      <c r="Y519" s="2449"/>
      <c r="Z519" s="2449"/>
      <c r="AA519" s="2449"/>
      <c r="AB519" s="2449"/>
      <c r="AC519" s="2449"/>
      <c r="AD519" s="2449"/>
      <c r="AE519" s="2449"/>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0" t="s">
        <v>590</v>
      </c>
      <c r="G521" s="2450"/>
      <c r="H521" s="2450"/>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8" t="s">
        <v>590</v>
      </c>
      <c r="D523" s="2419"/>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6"/>
      <c r="D525" s="2420"/>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7" t="s">
        <v>590</v>
      </c>
      <c r="H526" s="2477"/>
      <c r="I526" s="2477"/>
      <c r="J526" s="2477"/>
      <c r="K526" s="2477"/>
      <c r="L526" s="2477"/>
      <c r="M526" s="2477"/>
      <c r="N526" s="2477"/>
      <c r="O526" s="2477"/>
      <c r="P526" s="2477"/>
      <c r="Q526" s="2477"/>
      <c r="R526" s="2477"/>
      <c r="S526" s="2477"/>
      <c r="T526" s="2477"/>
      <c r="U526" s="2477"/>
      <c r="V526" s="2477"/>
      <c r="W526" s="2477"/>
      <c r="X526" s="2477"/>
      <c r="Y526" s="2477"/>
      <c r="Z526" s="2477"/>
      <c r="AA526" s="2477"/>
      <c r="AB526" s="2477"/>
      <c r="AC526" s="2477"/>
      <c r="AD526" s="2477"/>
      <c r="AE526" s="2477"/>
      <c r="AF526" s="2477"/>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8" t="s">
        <v>590</v>
      </c>
      <c r="D528" s="2479"/>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8" t="s">
        <v>590</v>
      </c>
      <c r="D532" s="2479"/>
      <c r="F532" s="791" t="s">
        <v>1536</v>
      </c>
      <c r="G532" s="2444" t="s">
        <v>1537</v>
      </c>
      <c r="H532" s="2444"/>
      <c r="I532" s="2444"/>
      <c r="J532" s="2444"/>
      <c r="K532" s="2444"/>
      <c r="L532" s="2444"/>
      <c r="M532" s="2444"/>
      <c r="N532" s="2444"/>
      <c r="O532" s="2444"/>
      <c r="P532" s="2444"/>
      <c r="Q532" s="2444"/>
      <c r="R532" s="2444"/>
      <c r="S532" s="2444"/>
      <c r="T532" s="2444"/>
      <c r="U532" s="2444"/>
      <c r="V532" s="2444"/>
      <c r="W532" s="2444"/>
      <c r="X532" s="2444"/>
      <c r="Y532" s="2444"/>
      <c r="Z532" s="2444"/>
      <c r="AA532" s="2444"/>
      <c r="AB532" s="2444"/>
      <c r="AC532" s="2444"/>
      <c r="AD532" s="2444"/>
      <c r="AE532" s="2444"/>
      <c r="AF532" s="2444"/>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5"/>
      <c r="H533" s="2445"/>
      <c r="I533" s="2445"/>
      <c r="J533" s="2445"/>
      <c r="K533" s="2445"/>
      <c r="L533" s="2445"/>
      <c r="M533" s="2445"/>
      <c r="N533" s="2445"/>
      <c r="O533" s="2445"/>
      <c r="P533" s="2445"/>
      <c r="Q533" s="2445"/>
      <c r="R533" s="2445"/>
      <c r="S533" s="2445"/>
      <c r="T533" s="2445"/>
      <c r="U533" s="2445"/>
      <c r="V533" s="2445"/>
      <c r="W533" s="2445"/>
      <c r="X533" s="2445"/>
      <c r="Y533" s="2445"/>
      <c r="Z533" s="2445"/>
      <c r="AA533" s="2445"/>
      <c r="AB533" s="2445"/>
      <c r="AC533" s="2445"/>
      <c r="AD533" s="2445"/>
      <c r="AE533" s="2445"/>
      <c r="AF533" s="24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0" t="s">
        <v>590</v>
      </c>
      <c r="D536" s="2481"/>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2" t="s">
        <v>590</v>
      </c>
      <c r="G537" s="2482"/>
      <c r="H537" s="2482"/>
      <c r="I537" s="2482"/>
      <c r="J537" s="2482"/>
      <c r="K537" s="2482"/>
      <c r="L537" s="2482"/>
      <c r="M537" s="2482"/>
      <c r="N537" s="2482"/>
      <c r="O537" s="2482"/>
      <c r="P537" s="2482"/>
      <c r="Q537" s="2482"/>
      <c r="R537" s="2482"/>
      <c r="S537" s="2482"/>
      <c r="T537" s="2482"/>
      <c r="U537" s="2482"/>
      <c r="V537" s="2482"/>
      <c r="W537" s="2482"/>
      <c r="X537" s="2482"/>
      <c r="Y537" s="2482"/>
      <c r="Z537" s="2482"/>
      <c r="AA537" s="2482"/>
      <c r="AB537" s="2482"/>
      <c r="AC537" s="2482"/>
      <c r="AD537" s="2482"/>
      <c r="AE537" s="2482"/>
      <c r="AF537" s="2482"/>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3"/>
      <c r="G538" s="2483"/>
      <c r="H538" s="2483"/>
      <c r="I538" s="2483"/>
      <c r="J538" s="2483"/>
      <c r="K538" s="2483"/>
      <c r="L538" s="2483"/>
      <c r="M538" s="2483"/>
      <c r="N538" s="2483"/>
      <c r="O538" s="2483"/>
      <c r="P538" s="2483"/>
      <c r="Q538" s="2483"/>
      <c r="R538" s="2483"/>
      <c r="S538" s="2483"/>
      <c r="T538" s="2483"/>
      <c r="U538" s="2483"/>
      <c r="V538" s="2483"/>
      <c r="W538" s="2483"/>
      <c r="X538" s="2483"/>
      <c r="Y538" s="2483"/>
      <c r="Z538" s="2483"/>
      <c r="AA538" s="2483"/>
      <c r="AB538" s="2483"/>
      <c r="AC538" s="2483"/>
      <c r="AD538" s="2483"/>
      <c r="AE538" s="2483"/>
      <c r="AF538" s="2483"/>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6">
        <f>SUM(AG492:AG537)</f>
        <v>0</v>
      </c>
      <c r="AL548" s="2442"/>
      <c r="AM548" s="239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3" t="s">
        <v>1549</v>
      </c>
      <c r="AF551" s="2453"/>
      <c r="AG551" s="2453"/>
      <c r="AH551" s="2453"/>
      <c r="AI551" s="2453"/>
      <c r="AJ551" s="2453"/>
      <c r="AK551" s="2453"/>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5" t="s">
        <v>590</v>
      </c>
      <c r="D554" s="2415"/>
      <c r="E554" s="550"/>
      <c r="F554" s="2555" t="s">
        <v>1550</v>
      </c>
      <c r="G554" s="2556"/>
      <c r="H554" s="2556"/>
      <c r="I554" s="2556"/>
      <c r="J554" s="2556"/>
      <c r="K554" s="2556"/>
      <c r="L554" s="2556"/>
      <c r="M554" s="2556"/>
      <c r="N554" s="2556"/>
      <c r="O554" s="2556"/>
      <c r="P554" s="2556"/>
      <c r="Q554" s="2556"/>
      <c r="R554" s="2556"/>
      <c r="S554" s="2556"/>
      <c r="T554" s="2556"/>
      <c r="U554" s="2556"/>
      <c r="V554" s="2556"/>
      <c r="W554" s="2556"/>
      <c r="X554" s="2556"/>
      <c r="Y554" s="2556"/>
      <c r="Z554" s="2556"/>
      <c r="AA554" s="2556"/>
      <c r="AB554" s="2556"/>
      <c r="AC554" s="2556"/>
      <c r="AD554" s="2556"/>
      <c r="AE554" s="2556"/>
      <c r="AF554" s="2556"/>
      <c r="AG554" s="2556"/>
      <c r="AH554" s="2556"/>
      <c r="AI554" s="2556"/>
      <c r="AJ554" s="2556"/>
      <c r="AK554" s="2556"/>
      <c r="AL554" s="2557"/>
      <c r="AM554" s="593"/>
      <c r="AN554" s="595"/>
    </row>
    <row r="555" spans="1:81" s="549" customFormat="1" ht="12.75" customHeight="1">
      <c r="B555" s="539"/>
      <c r="C555" s="550"/>
      <c r="D555" s="550"/>
      <c r="E555" s="550"/>
      <c r="F555" s="2558"/>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59"/>
      <c r="AK555" s="2559"/>
      <c r="AL555" s="256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5" t="s">
        <v>544</v>
      </c>
      <c r="D557" s="2415"/>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5" t="s">
        <v>2621</v>
      </c>
      <c r="G558" s="2393"/>
      <c r="H558" s="2393"/>
      <c r="I558" s="2393"/>
      <c r="J558" s="2393"/>
      <c r="K558" s="2393"/>
      <c r="L558" s="2393"/>
      <c r="M558" s="2393"/>
      <c r="N558" s="2393"/>
      <c r="O558" s="2393"/>
      <c r="P558" s="2393"/>
      <c r="Q558" s="2393"/>
      <c r="R558" s="2393"/>
      <c r="S558" s="2393"/>
      <c r="T558" s="2393"/>
      <c r="U558" s="2393"/>
      <c r="V558" s="2393"/>
      <c r="W558" s="2393"/>
      <c r="X558" s="2393"/>
      <c r="Y558" s="2393"/>
      <c r="Z558" s="2393"/>
      <c r="AA558" s="2393"/>
      <c r="AB558" s="2393"/>
      <c r="AC558" s="2393"/>
      <c r="AD558" s="2393"/>
      <c r="AE558" s="2393"/>
      <c r="AF558" s="2393"/>
      <c r="AG558" s="2393"/>
      <c r="AH558" s="2393"/>
      <c r="AI558" s="2393"/>
      <c r="AJ558" s="2393"/>
      <c r="AK558" s="2393"/>
      <c r="AL558" s="2436"/>
      <c r="AM558" s="593"/>
      <c r="AN558" s="595"/>
      <c r="AS558" s="866"/>
      <c r="AT558" s="866"/>
      <c r="AU558" s="866"/>
      <c r="AV558" s="866"/>
      <c r="AW558" s="866"/>
    </row>
    <row r="559" spans="1:81" s="549" customFormat="1" ht="12.75" customHeight="1">
      <c r="B559" s="802"/>
      <c r="C559" s="802"/>
      <c r="D559" s="802"/>
      <c r="E559" s="802"/>
      <c r="F559" s="2435"/>
      <c r="G559" s="2393"/>
      <c r="H559" s="2393"/>
      <c r="I559" s="2393"/>
      <c r="J559" s="2393"/>
      <c r="K559" s="2393"/>
      <c r="L559" s="2393"/>
      <c r="M559" s="2393"/>
      <c r="N559" s="2393"/>
      <c r="O559" s="2393"/>
      <c r="P559" s="2393"/>
      <c r="Q559" s="2393"/>
      <c r="R559" s="2393"/>
      <c r="S559" s="2393"/>
      <c r="T559" s="2393"/>
      <c r="U559" s="2393"/>
      <c r="V559" s="2393"/>
      <c r="W559" s="2393"/>
      <c r="X559" s="2393"/>
      <c r="Y559" s="2393"/>
      <c r="Z559" s="2393"/>
      <c r="AA559" s="2393"/>
      <c r="AB559" s="2393"/>
      <c r="AC559" s="2393"/>
      <c r="AD559" s="2393"/>
      <c r="AE559" s="2393"/>
      <c r="AF559" s="2393"/>
      <c r="AG559" s="2393"/>
      <c r="AH559" s="2393"/>
      <c r="AI559" s="2393"/>
      <c r="AJ559" s="2393"/>
      <c r="AK559" s="2393"/>
      <c r="AL559" s="2436"/>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5" t="s">
        <v>1552</v>
      </c>
      <c r="G561" s="2393"/>
      <c r="H561" s="2393"/>
      <c r="I561" s="2393"/>
      <c r="J561" s="2393"/>
      <c r="K561" s="2393"/>
      <c r="L561" s="2393"/>
      <c r="M561" s="2393"/>
      <c r="N561" s="2393"/>
      <c r="O561" s="2393"/>
      <c r="P561" s="2393"/>
      <c r="Q561" s="2393"/>
      <c r="R561" s="2393"/>
      <c r="S561" s="2393"/>
      <c r="T561" s="2393"/>
      <c r="U561" s="2393"/>
      <c r="V561" s="2393"/>
      <c r="W561" s="2393"/>
      <c r="X561" s="2393"/>
      <c r="Y561" s="2393"/>
      <c r="Z561" s="2393"/>
      <c r="AA561" s="2393"/>
      <c r="AB561" s="2393"/>
      <c r="AC561" s="2393"/>
      <c r="AD561" s="2393"/>
      <c r="AE561" s="2393"/>
      <c r="AF561" s="2393"/>
      <c r="AG561" s="2393"/>
      <c r="AH561" s="2393"/>
      <c r="AI561" s="2393"/>
      <c r="AJ561" s="2393"/>
      <c r="AK561" s="2393"/>
      <c r="AL561" s="809"/>
      <c r="AM561" s="593"/>
      <c r="AN561" s="595"/>
    </row>
    <row r="562" spans="1:45" s="549" customFormat="1" ht="12.75" customHeight="1">
      <c r="B562" s="802"/>
      <c r="C562" s="802"/>
      <c r="D562" s="802"/>
      <c r="E562" s="802"/>
      <c r="F562" s="2437"/>
      <c r="G562" s="2438"/>
      <c r="H562" s="2438"/>
      <c r="I562" s="2438"/>
      <c r="J562" s="2438"/>
      <c r="K562" s="2438"/>
      <c r="L562" s="2438"/>
      <c r="M562" s="2438"/>
      <c r="N562" s="2438"/>
      <c r="O562" s="2438"/>
      <c r="P562" s="2438"/>
      <c r="Q562" s="2438"/>
      <c r="R562" s="2438"/>
      <c r="S562" s="2438"/>
      <c r="T562" s="2438"/>
      <c r="U562" s="2438"/>
      <c r="V562" s="2438"/>
      <c r="W562" s="2438"/>
      <c r="X562" s="2438"/>
      <c r="Y562" s="2438"/>
      <c r="Z562" s="2438"/>
      <c r="AA562" s="2438"/>
      <c r="AB562" s="2438"/>
      <c r="AC562" s="2438"/>
      <c r="AD562" s="2438"/>
      <c r="AE562" s="2438"/>
      <c r="AF562" s="2438"/>
      <c r="AG562" s="2438"/>
      <c r="AH562" s="2438"/>
      <c r="AI562" s="2438"/>
      <c r="AJ562" s="2438"/>
      <c r="AK562" s="243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4">
        <f>Application!AJ1001</f>
        <v>94905211</v>
      </c>
      <c r="AQ563" s="2434"/>
      <c r="AR563" s="2434"/>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9">
        <f>'Sources and Uses Budget'!S107+'Sources and Uses Budget'!T107</f>
        <v>55720638</v>
      </c>
      <c r="AG564" s="2439"/>
      <c r="AH564" s="2439"/>
      <c r="AI564" s="2439"/>
      <c r="AJ564" s="2439"/>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0">
        <f>IFERROR(AP572,0)</f>
        <v>152797389.41</v>
      </c>
      <c r="AG565" s="2440"/>
      <c r="AH565" s="2440"/>
      <c r="AI565" s="2440"/>
      <c r="AJ565" s="2440"/>
      <c r="AK565" s="593"/>
      <c r="AL565" s="593"/>
      <c r="AM565" s="593"/>
      <c r="AN565" s="595"/>
      <c r="AP565" s="2434">
        <f>Application!AJ1054</f>
        <v>10439573.210000001</v>
      </c>
      <c r="AQ565" s="2434"/>
      <c r="AR565" s="2434"/>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1">
        <f>IFERROR(ROUNDDOWN(IF(C557="YES",((1-(AF564/AF565))*2),(1-(AF564/AF565))),2),0)</f>
        <v>1.27</v>
      </c>
      <c r="AG566" s="2441"/>
      <c r="AH566" s="2441"/>
      <c r="AI566" s="2441"/>
      <c r="AJ566" s="2441"/>
      <c r="AK566" s="593"/>
      <c r="AL566" s="593"/>
      <c r="AM566" s="593"/>
      <c r="AN566" s="595"/>
      <c r="AP566" s="2432">
        <f>Application!AJ1058</f>
        <v>18981042.199999999</v>
      </c>
      <c r="AQ566" s="2432"/>
      <c r="AR566" s="2432"/>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2">
        <f>IF(((AP565+AP566)/AP563)&gt;0.8,0.8,((AP565+AP566)/AP563))</f>
        <v>0.31</v>
      </c>
      <c r="AQ567" s="2462"/>
      <c r="AR567" s="2462"/>
      <c r="AS567" s="549" t="s">
        <v>2123</v>
      </c>
    </row>
    <row r="568" spans="1:45" s="549" customFormat="1" ht="12.75" customHeight="1">
      <c r="A568" s="622"/>
      <c r="B568" s="2512" t="s">
        <v>1990</v>
      </c>
      <c r="C568" s="2513"/>
      <c r="D568" s="2513"/>
      <c r="E568" s="2513"/>
      <c r="F568" s="2513"/>
      <c r="G568" s="2513"/>
      <c r="H568" s="2513"/>
      <c r="I568" s="2513"/>
      <c r="J568" s="2513"/>
      <c r="K568" s="2513"/>
      <c r="L568" s="2513"/>
      <c r="M568" s="2513"/>
      <c r="N568" s="2513"/>
      <c r="O568" s="2513"/>
      <c r="P568" s="2513"/>
      <c r="Q568" s="2513"/>
      <c r="R568" s="2513"/>
      <c r="S568" s="2513"/>
      <c r="T568" s="2513"/>
      <c r="U568" s="2513"/>
      <c r="V568" s="2513"/>
      <c r="W568" s="2513"/>
      <c r="X568" s="2513"/>
      <c r="Y568" s="2513"/>
      <c r="Z568" s="2513"/>
      <c r="AA568" s="2513"/>
      <c r="AB568" s="2513"/>
      <c r="AC568" s="2513"/>
      <c r="AD568" s="2513"/>
      <c r="AE568" s="2513"/>
      <c r="AF568" s="2513"/>
      <c r="AG568" s="2513"/>
      <c r="AH568" s="2513"/>
      <c r="AI568" s="2513"/>
      <c r="AJ568" s="2514"/>
      <c r="AK568" s="593"/>
      <c r="AL568" s="593"/>
      <c r="AM568" s="593"/>
      <c r="AN568" s="595"/>
    </row>
    <row r="569" spans="1:45" s="549" customFormat="1" ht="12.75" customHeight="1">
      <c r="A569" s="622"/>
      <c r="B569" s="2515"/>
      <c r="C569" s="2516"/>
      <c r="D569" s="2516"/>
      <c r="E569" s="2516"/>
      <c r="F569" s="2516"/>
      <c r="G569" s="2516"/>
      <c r="H569" s="2516"/>
      <c r="I569" s="2516"/>
      <c r="J569" s="2516"/>
      <c r="K569" s="2516"/>
      <c r="L569" s="2516"/>
      <c r="M569" s="2516"/>
      <c r="N569" s="2516"/>
      <c r="O569" s="2516"/>
      <c r="P569" s="2516"/>
      <c r="Q569" s="2516"/>
      <c r="R569" s="2516"/>
      <c r="S569" s="2516"/>
      <c r="T569" s="2516"/>
      <c r="U569" s="2516"/>
      <c r="V569" s="2516"/>
      <c r="W569" s="2516"/>
      <c r="X569" s="2516"/>
      <c r="Y569" s="2516"/>
      <c r="Z569" s="2516"/>
      <c r="AA569" s="2516"/>
      <c r="AB569" s="2516"/>
      <c r="AC569" s="2516"/>
      <c r="AD569" s="2516"/>
      <c r="AE569" s="2516"/>
      <c r="AF569" s="2516"/>
      <c r="AG569" s="2516"/>
      <c r="AH569" s="2516"/>
      <c r="AI569" s="2516"/>
      <c r="AJ569" s="2517"/>
      <c r="AK569" s="593"/>
      <c r="AL569" s="593"/>
      <c r="AM569" s="593"/>
      <c r="AN569" s="595"/>
      <c r="AP569" s="2434">
        <f>AP570-AP565-AP566</f>
        <v>123376773.99999999</v>
      </c>
      <c r="AQ569" s="2463"/>
      <c r="AR569" s="2463"/>
      <c r="AS569" s="549" t="s">
        <v>2125</v>
      </c>
    </row>
    <row r="570" spans="1:45" s="549" customFormat="1" ht="12.75" customHeight="1">
      <c r="A570" s="622"/>
      <c r="B570" s="2518"/>
      <c r="C570" s="2519"/>
      <c r="D570" s="2519"/>
      <c r="E570" s="2519"/>
      <c r="F570" s="2519"/>
      <c r="G570" s="2519"/>
      <c r="H570" s="2519"/>
      <c r="I570" s="2519"/>
      <c r="J570" s="2519"/>
      <c r="K570" s="2519"/>
      <c r="L570" s="2519"/>
      <c r="M570" s="2519"/>
      <c r="N570" s="2519"/>
      <c r="O570" s="2519"/>
      <c r="P570" s="2519"/>
      <c r="Q570" s="2519"/>
      <c r="R570" s="2519"/>
      <c r="S570" s="2519"/>
      <c r="T570" s="2519"/>
      <c r="U570" s="2519"/>
      <c r="V570" s="2519"/>
      <c r="W570" s="2519"/>
      <c r="X570" s="2519"/>
      <c r="Y570" s="2519"/>
      <c r="Z570" s="2519"/>
      <c r="AA570" s="2519"/>
      <c r="AB570" s="2519"/>
      <c r="AC570" s="2519"/>
      <c r="AD570" s="2519"/>
      <c r="AE570" s="2519"/>
      <c r="AF570" s="2519"/>
      <c r="AG570" s="2519"/>
      <c r="AH570" s="2519"/>
      <c r="AI570" s="2519"/>
      <c r="AJ570" s="2520"/>
      <c r="AK570" s="593"/>
      <c r="AL570" s="593"/>
      <c r="AM570" s="593"/>
      <c r="AN570" s="595"/>
      <c r="AP570" s="2434">
        <f>Application!AJ1062</f>
        <v>152797389.41</v>
      </c>
      <c r="AQ570" s="2434"/>
      <c r="AR570" s="2434"/>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21">
        <f>IFERROR(IF(AND(C554="N/A",C557="N/A"),0,IF(AF566=0,0,IF((AF566*100)&gt;12,12,(AF566*100)))),0)</f>
        <v>12</v>
      </c>
      <c r="AL572" s="2521"/>
      <c r="AM572" s="2522"/>
      <c r="AN572" s="595"/>
      <c r="AP572" s="2423">
        <f>AP569+(AP563*AP567)</f>
        <v>152797389.41</v>
      </c>
      <c r="AQ572" s="2424"/>
      <c r="AR572" s="24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3" t="s">
        <v>1306</v>
      </c>
      <c r="AF575" s="2453"/>
      <c r="AG575" s="2453"/>
      <c r="AH575" s="2453"/>
      <c r="AI575" s="2453"/>
      <c r="AJ575" s="2453"/>
      <c r="AK575" s="245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3" t="s">
        <v>1982</v>
      </c>
      <c r="C577" s="2393"/>
      <c r="D577" s="2393"/>
      <c r="E577" s="2393"/>
      <c r="F577" s="2393"/>
      <c r="G577" s="2393"/>
      <c r="H577" s="2393"/>
      <c r="I577" s="2393"/>
      <c r="J577" s="2393"/>
      <c r="K577" s="2393"/>
      <c r="L577" s="2393"/>
      <c r="M577" s="2393"/>
      <c r="N577" s="2393"/>
      <c r="O577" s="2393"/>
      <c r="P577" s="2393"/>
      <c r="Q577" s="2393"/>
      <c r="R577" s="2393"/>
      <c r="S577" s="2393"/>
      <c r="T577" s="2393"/>
      <c r="U577" s="2393"/>
      <c r="V577" s="2393"/>
      <c r="W577" s="2393"/>
      <c r="X577" s="2393"/>
      <c r="Y577" s="2393"/>
      <c r="Z577" s="2393"/>
      <c r="AA577" s="2393"/>
      <c r="AB577" s="2393"/>
      <c r="AC577" s="2393"/>
      <c r="AD577" s="2393"/>
      <c r="AE577" s="2393"/>
      <c r="AF577" s="2393"/>
      <c r="AG577" s="2393"/>
      <c r="AH577" s="2393"/>
      <c r="AI577" s="2393"/>
      <c r="AJ577" s="2393"/>
      <c r="AK577" s="640"/>
      <c r="AL577" s="571"/>
      <c r="AM577" s="601"/>
      <c r="AN577" s="595"/>
    </row>
    <row r="578" spans="1:42" s="549" customFormat="1" ht="12.75" customHeight="1">
      <c r="A578" s="601"/>
      <c r="B578" s="2393"/>
      <c r="C578" s="2393"/>
      <c r="D578" s="2393"/>
      <c r="E578" s="2393"/>
      <c r="F578" s="2393"/>
      <c r="G578" s="2393"/>
      <c r="H578" s="2393"/>
      <c r="I578" s="2393"/>
      <c r="J578" s="2393"/>
      <c r="K578" s="2393"/>
      <c r="L578" s="2393"/>
      <c r="M578" s="2393"/>
      <c r="N578" s="2393"/>
      <c r="O578" s="2393"/>
      <c r="P578" s="2393"/>
      <c r="Q578" s="2393"/>
      <c r="R578" s="2393"/>
      <c r="S578" s="2393"/>
      <c r="T578" s="2393"/>
      <c r="U578" s="2393"/>
      <c r="V578" s="2393"/>
      <c r="W578" s="2393"/>
      <c r="X578" s="2393"/>
      <c r="Y578" s="2393"/>
      <c r="Z578" s="2393"/>
      <c r="AA578" s="2393"/>
      <c r="AB578" s="2393"/>
      <c r="AC578" s="2393"/>
      <c r="AD578" s="2393"/>
      <c r="AE578" s="2393"/>
      <c r="AF578" s="2393"/>
      <c r="AG578" s="2393"/>
      <c r="AH578" s="2393"/>
      <c r="AI578" s="2393"/>
      <c r="AJ578" s="2393"/>
      <c r="AK578" s="640"/>
      <c r="AL578" s="571"/>
      <c r="AM578" s="601"/>
      <c r="AN578" s="595"/>
    </row>
    <row r="579" spans="1:42" s="549" customFormat="1" ht="12.75" customHeight="1">
      <c r="A579" s="601"/>
      <c r="B579" s="2393"/>
      <c r="C579" s="2393"/>
      <c r="D579" s="2393"/>
      <c r="E579" s="2393"/>
      <c r="F579" s="2393"/>
      <c r="G579" s="2393"/>
      <c r="H579" s="2393"/>
      <c r="I579" s="2393"/>
      <c r="J579" s="2393"/>
      <c r="K579" s="2393"/>
      <c r="L579" s="2393"/>
      <c r="M579" s="2393"/>
      <c r="N579" s="2393"/>
      <c r="O579" s="2393"/>
      <c r="P579" s="2393"/>
      <c r="Q579" s="2393"/>
      <c r="R579" s="2393"/>
      <c r="S579" s="2393"/>
      <c r="T579" s="2393"/>
      <c r="U579" s="2393"/>
      <c r="V579" s="2393"/>
      <c r="W579" s="2393"/>
      <c r="X579" s="2393"/>
      <c r="Y579" s="2393"/>
      <c r="Z579" s="2393"/>
      <c r="AA579" s="2393"/>
      <c r="AB579" s="2393"/>
      <c r="AC579" s="2393"/>
      <c r="AD579" s="2393"/>
      <c r="AE579" s="2393"/>
      <c r="AF579" s="2393"/>
      <c r="AG579" s="2393"/>
      <c r="AH579" s="2393"/>
      <c r="AI579" s="2393"/>
      <c r="AJ579" s="2393"/>
      <c r="AK579" s="640"/>
      <c r="AL579" s="571"/>
      <c r="AM579" s="601"/>
      <c r="AN579" s="595"/>
    </row>
    <row r="580" spans="1:42" s="549" customFormat="1" ht="12.75" customHeight="1">
      <c r="A580" s="601"/>
      <c r="B580" s="2393"/>
      <c r="C580" s="2393"/>
      <c r="D580" s="2393"/>
      <c r="E580" s="2393"/>
      <c r="F580" s="2393"/>
      <c r="G580" s="2393"/>
      <c r="H580" s="2393"/>
      <c r="I580" s="2393"/>
      <c r="J580" s="2393"/>
      <c r="K580" s="2393"/>
      <c r="L580" s="2393"/>
      <c r="M580" s="2393"/>
      <c r="N580" s="2393"/>
      <c r="O580" s="2393"/>
      <c r="P580" s="2393"/>
      <c r="Q580" s="2393"/>
      <c r="R580" s="2393"/>
      <c r="S580" s="2393"/>
      <c r="T580" s="2393"/>
      <c r="U580" s="2393"/>
      <c r="V580" s="2393"/>
      <c r="W580" s="2393"/>
      <c r="X580" s="2393"/>
      <c r="Y580" s="2393"/>
      <c r="Z580" s="2393"/>
      <c r="AA580" s="2393"/>
      <c r="AB580" s="2393"/>
      <c r="AC580" s="2393"/>
      <c r="AD580" s="2393"/>
      <c r="AE580" s="2393"/>
      <c r="AF580" s="2393"/>
      <c r="AG580" s="2393"/>
      <c r="AH580" s="2393"/>
      <c r="AI580" s="2393"/>
      <c r="AJ580" s="2393"/>
      <c r="AK580" s="640"/>
      <c r="AL580" s="571"/>
      <c r="AM580" s="601"/>
      <c r="AN580" s="595"/>
    </row>
    <row r="581" spans="1:42" s="549" customFormat="1" ht="12.75" customHeight="1">
      <c r="A581" s="601"/>
      <c r="B581" s="2393"/>
      <c r="C581" s="2393"/>
      <c r="D581" s="2393"/>
      <c r="E581" s="2393"/>
      <c r="F581" s="2393"/>
      <c r="G581" s="2393"/>
      <c r="H581" s="2393"/>
      <c r="I581" s="2393"/>
      <c r="J581" s="2393"/>
      <c r="K581" s="2393"/>
      <c r="L581" s="2393"/>
      <c r="M581" s="2393"/>
      <c r="N581" s="2393"/>
      <c r="O581" s="2393"/>
      <c r="P581" s="2393"/>
      <c r="Q581" s="2393"/>
      <c r="R581" s="2393"/>
      <c r="S581" s="2393"/>
      <c r="T581" s="2393"/>
      <c r="U581" s="2393"/>
      <c r="V581" s="2393"/>
      <c r="W581" s="2393"/>
      <c r="X581" s="2393"/>
      <c r="Y581" s="2393"/>
      <c r="Z581" s="2393"/>
      <c r="AA581" s="2393"/>
      <c r="AB581" s="2393"/>
      <c r="AC581" s="2393"/>
      <c r="AD581" s="2393"/>
      <c r="AE581" s="2393"/>
      <c r="AF581" s="2393"/>
      <c r="AG581" s="2393"/>
      <c r="AH581" s="2393"/>
      <c r="AI581" s="2393"/>
      <c r="AJ581" s="2393"/>
      <c r="AK581" s="640"/>
      <c r="AL581" s="571"/>
      <c r="AM581" s="601"/>
      <c r="AN581" s="595"/>
    </row>
    <row r="582" spans="1:42" s="549" customFormat="1" ht="12.75" customHeight="1">
      <c r="A582" s="601"/>
      <c r="B582" s="2393"/>
      <c r="C582" s="2393"/>
      <c r="D582" s="2393"/>
      <c r="E582" s="2393"/>
      <c r="F582" s="2393"/>
      <c r="G582" s="2393"/>
      <c r="H582" s="2393"/>
      <c r="I582" s="2393"/>
      <c r="J582" s="2393"/>
      <c r="K582" s="2393"/>
      <c r="L582" s="2393"/>
      <c r="M582" s="2393"/>
      <c r="N582" s="2393"/>
      <c r="O582" s="2393"/>
      <c r="P582" s="2393"/>
      <c r="Q582" s="2393"/>
      <c r="R582" s="2393"/>
      <c r="S582" s="2393"/>
      <c r="T582" s="2393"/>
      <c r="U582" s="2393"/>
      <c r="V582" s="2393"/>
      <c r="W582" s="2393"/>
      <c r="X582" s="2393"/>
      <c r="Y582" s="2393"/>
      <c r="Z582" s="2393"/>
      <c r="AA582" s="2393"/>
      <c r="AB582" s="2393"/>
      <c r="AC582" s="2393"/>
      <c r="AD582" s="2393"/>
      <c r="AE582" s="2393"/>
      <c r="AF582" s="2393"/>
      <c r="AG582" s="2393"/>
      <c r="AH582" s="2393"/>
      <c r="AI582" s="2393"/>
      <c r="AJ582" s="2393"/>
      <c r="AK582" s="640"/>
      <c r="AL582" s="571"/>
      <c r="AM582" s="601"/>
      <c r="AN582" s="595"/>
    </row>
    <row r="583" spans="1:42" s="549" customFormat="1" ht="12.75" customHeight="1">
      <c r="A583" s="601"/>
      <c r="B583" s="2393"/>
      <c r="C583" s="2393"/>
      <c r="D583" s="2393"/>
      <c r="E583" s="2393"/>
      <c r="F583" s="2393"/>
      <c r="G583" s="2393"/>
      <c r="H583" s="2393"/>
      <c r="I583" s="2393"/>
      <c r="J583" s="2393"/>
      <c r="K583" s="2393"/>
      <c r="L583" s="2393"/>
      <c r="M583" s="2393"/>
      <c r="N583" s="2393"/>
      <c r="O583" s="2393"/>
      <c r="P583" s="2393"/>
      <c r="Q583" s="2393"/>
      <c r="R583" s="2393"/>
      <c r="S583" s="2393"/>
      <c r="T583" s="2393"/>
      <c r="U583" s="2393"/>
      <c r="V583" s="2393"/>
      <c r="W583" s="2393"/>
      <c r="X583" s="2393"/>
      <c r="Y583" s="2393"/>
      <c r="Z583" s="2393"/>
      <c r="AA583" s="2393"/>
      <c r="AB583" s="2393"/>
      <c r="AC583" s="2393"/>
      <c r="AD583" s="2393"/>
      <c r="AE583" s="2393"/>
      <c r="AF583" s="2393"/>
      <c r="AG583" s="2393"/>
      <c r="AH583" s="2393"/>
      <c r="AI583" s="2393"/>
      <c r="AJ583" s="2393"/>
      <c r="AK583" s="640"/>
      <c r="AL583" s="571"/>
      <c r="AM583" s="601"/>
      <c r="AN583" s="595"/>
    </row>
    <row r="584" spans="1:42" ht="12.75" customHeight="1">
      <c r="A584" s="601"/>
      <c r="B584" s="2393"/>
      <c r="C584" s="2393"/>
      <c r="D584" s="2393"/>
      <c r="E584" s="2393"/>
      <c r="F584" s="2393"/>
      <c r="G584" s="2393"/>
      <c r="H584" s="2393"/>
      <c r="I584" s="2393"/>
      <c r="J584" s="2393"/>
      <c r="K584" s="2393"/>
      <c r="L584" s="2393"/>
      <c r="M584" s="2393"/>
      <c r="N584" s="2393"/>
      <c r="O584" s="2393"/>
      <c r="P584" s="2393"/>
      <c r="Q584" s="2393"/>
      <c r="R584" s="2393"/>
      <c r="S584" s="2393"/>
      <c r="T584" s="2393"/>
      <c r="U584" s="2393"/>
      <c r="V584" s="2393"/>
      <c r="W584" s="2393"/>
      <c r="X584" s="2393"/>
      <c r="Y584" s="2393"/>
      <c r="Z584" s="2393"/>
      <c r="AA584" s="2393"/>
      <c r="AB584" s="2393"/>
      <c r="AC584" s="2393"/>
      <c r="AD584" s="2393"/>
      <c r="AE584" s="2393"/>
      <c r="AF584" s="2393"/>
      <c r="AG584" s="2393"/>
      <c r="AH584" s="2393"/>
      <c r="AI584" s="2393"/>
      <c r="AJ584" s="2393"/>
      <c r="AK584" s="640"/>
      <c r="AL584" s="571"/>
      <c r="AM584" s="601"/>
    </row>
    <row r="585" spans="1:42" s="549" customFormat="1" ht="12.75" customHeight="1">
      <c r="B585" s="2393"/>
      <c r="C585" s="2393"/>
      <c r="D585" s="2393"/>
      <c r="E585" s="2393"/>
      <c r="F585" s="2393"/>
      <c r="G585" s="2393"/>
      <c r="H585" s="2393"/>
      <c r="I585" s="2393"/>
      <c r="J585" s="2393"/>
      <c r="K585" s="2393"/>
      <c r="L585" s="2393"/>
      <c r="M585" s="2393"/>
      <c r="N585" s="2393"/>
      <c r="O585" s="2393"/>
      <c r="P585" s="2393"/>
      <c r="Q585" s="2393"/>
      <c r="R585" s="2393"/>
      <c r="S585" s="2393"/>
      <c r="T585" s="2393"/>
      <c r="U585" s="2393"/>
      <c r="V585" s="2393"/>
      <c r="W585" s="2393"/>
      <c r="X585" s="2393"/>
      <c r="Y585" s="2393"/>
      <c r="Z585" s="2393"/>
      <c r="AA585" s="2393"/>
      <c r="AB585" s="2393"/>
      <c r="AC585" s="2393"/>
      <c r="AD585" s="2393"/>
      <c r="AE585" s="2393"/>
      <c r="AF585" s="2393"/>
      <c r="AG585" s="2393"/>
      <c r="AH585" s="2393"/>
      <c r="AI585" s="2393"/>
      <c r="AJ585" s="239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4" t="s">
        <v>1330</v>
      </c>
      <c r="AG591" s="2394"/>
      <c r="AH591" s="2394"/>
      <c r="AI591" s="2394"/>
      <c r="AJ591" s="2394"/>
      <c r="AK591" s="2394"/>
      <c r="AL591" s="2394"/>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4" t="s">
        <v>1386</v>
      </c>
      <c r="AG598" s="2394"/>
      <c r="AH598" s="2394"/>
      <c r="AI598" s="2394"/>
      <c r="AJ598" s="2394"/>
      <c r="AK598" s="2394"/>
      <c r="AL598" s="2394"/>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4" t="s">
        <v>1369</v>
      </c>
      <c r="AG604" s="2394"/>
      <c r="AH604" s="2394"/>
      <c r="AI604" s="2394"/>
      <c r="AJ604" s="2394"/>
      <c r="AK604" s="2394"/>
      <c r="AL604" s="2394"/>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4" t="s">
        <v>1389</v>
      </c>
      <c r="AG610" s="2394"/>
      <c r="AH610" s="2394"/>
      <c r="AI610" s="2394"/>
      <c r="AJ610" s="2394"/>
      <c r="AK610" s="2394"/>
      <c r="AL610" s="2394"/>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9" t="s">
        <v>1182</v>
      </c>
      <c r="P614" s="2539"/>
      <c r="Q614" s="2539"/>
      <c r="R614" s="2539"/>
      <c r="S614" s="2539"/>
      <c r="T614" s="2539"/>
      <c r="U614" s="2539"/>
      <c r="V614" s="2539"/>
      <c r="W614" s="2539"/>
      <c r="X614" s="2539"/>
      <c r="Y614" s="2539"/>
      <c r="Z614" s="2539"/>
      <c r="AA614" s="2539"/>
      <c r="AB614" s="253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4" t="s">
        <v>1344</v>
      </c>
      <c r="AG616" s="2394"/>
      <c r="AH616" s="2394"/>
      <c r="AI616" s="2394"/>
      <c r="AJ616" s="2394"/>
      <c r="AK616" s="2394"/>
      <c r="AL616" s="2394"/>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5" t="s">
        <v>686</v>
      </c>
      <c r="I619" s="2395"/>
      <c r="J619" s="932"/>
      <c r="K619" s="932"/>
      <c r="L619" s="932"/>
      <c r="N619" s="22"/>
      <c r="O619" s="22"/>
      <c r="P619" s="22"/>
      <c r="Q619" s="1145" t="s">
        <v>2128</v>
      </c>
      <c r="R619" s="2540"/>
      <c r="S619" s="2540"/>
      <c r="T619" s="2540"/>
      <c r="U619" s="2540"/>
      <c r="V619" s="2540"/>
      <c r="W619" s="2540"/>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1" t="str">
        <f>IF(AND(H619="(i)",NOT(AP595)),AO612,IF(AND(H619="(iv)",OR(R619=AO608,R619=AO607),NOT(AP596)),AO613,""))</f>
        <v/>
      </c>
      <c r="Z620" s="2541"/>
      <c r="AA620" s="2541"/>
      <c r="AB620" s="2541"/>
      <c r="AC620" s="2541"/>
      <c r="AD620" s="2541"/>
      <c r="AE620" s="2541"/>
      <c r="AF620" s="2541"/>
      <c r="AG620" s="2541"/>
      <c r="AH620" s="2541"/>
      <c r="AI620" s="2541"/>
      <c r="AJ620" s="2541"/>
      <c r="AK620" s="2541"/>
      <c r="AL620" s="2541"/>
      <c r="AM620" s="2542"/>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1"/>
      <c r="Z621" s="2541"/>
      <c r="AA621" s="2541"/>
      <c r="AB621" s="2541"/>
      <c r="AC621" s="2541"/>
      <c r="AD621" s="2541"/>
      <c r="AE621" s="2541"/>
      <c r="AF621" s="2541"/>
      <c r="AG621" s="2541"/>
      <c r="AH621" s="2541"/>
      <c r="AI621" s="2541"/>
      <c r="AJ621" s="2541"/>
      <c r="AK621" s="2541"/>
      <c r="AL621" s="2541"/>
      <c r="AM621" s="2542"/>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8" t="s">
        <v>590</v>
      </c>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2538"/>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01" t="s">
        <v>590</v>
      </c>
      <c r="C629" s="2401"/>
      <c r="D629" s="640"/>
      <c r="E629" s="2393" t="s">
        <v>1393</v>
      </c>
      <c r="F629" s="2393"/>
      <c r="G629" s="2393"/>
      <c r="H629" s="2393"/>
      <c r="I629" s="2393"/>
      <c r="J629" s="2393"/>
      <c r="K629" s="2393"/>
      <c r="L629" s="2393"/>
      <c r="M629" s="2393"/>
      <c r="N629" s="2393"/>
      <c r="O629" s="2393"/>
      <c r="P629" s="2393"/>
      <c r="Q629" s="2393"/>
      <c r="R629" s="2393"/>
      <c r="S629" s="2393"/>
      <c r="T629" s="2393"/>
      <c r="U629" s="2393"/>
      <c r="V629" s="2393"/>
      <c r="W629" s="2393"/>
      <c r="X629" s="2393"/>
      <c r="Y629" s="2393"/>
      <c r="Z629" s="2393"/>
      <c r="AA629" s="2393"/>
      <c r="AB629" s="2393"/>
      <c r="AC629" s="2393"/>
      <c r="AD629" s="2393"/>
      <c r="AE629" s="2393"/>
      <c r="AF629" s="2393"/>
      <c r="AG629" s="2393"/>
      <c r="AH629" s="640"/>
      <c r="AI629" s="640"/>
      <c r="AJ629" s="640"/>
      <c r="AK629" s="640"/>
      <c r="AL629" s="640"/>
      <c r="AN629" s="595"/>
    </row>
    <row r="630" spans="1:42" s="549" customFormat="1" ht="12.75" customHeight="1">
      <c r="B630" s="536"/>
      <c r="C630" s="929"/>
      <c r="D630" s="640"/>
      <c r="E630" s="2393"/>
      <c r="F630" s="2393"/>
      <c r="G630" s="2393"/>
      <c r="H630" s="2393"/>
      <c r="I630" s="2393"/>
      <c r="J630" s="2393"/>
      <c r="K630" s="2393"/>
      <c r="L630" s="2393"/>
      <c r="M630" s="2393"/>
      <c r="N630" s="2393"/>
      <c r="O630" s="2393"/>
      <c r="P630" s="2393"/>
      <c r="Q630" s="2393"/>
      <c r="R630" s="2393"/>
      <c r="S630" s="2393"/>
      <c r="T630" s="2393"/>
      <c r="U630" s="2393"/>
      <c r="V630" s="2393"/>
      <c r="W630" s="2393"/>
      <c r="X630" s="2393"/>
      <c r="Y630" s="2393"/>
      <c r="Z630" s="2393"/>
      <c r="AA630" s="2393"/>
      <c r="AB630" s="2393"/>
      <c r="AC630" s="2393"/>
      <c r="AD630" s="2393"/>
      <c r="AE630" s="2393"/>
      <c r="AF630" s="2393"/>
      <c r="AG630" s="2393"/>
      <c r="AH630" s="640"/>
      <c r="AI630" s="640"/>
      <c r="AJ630" s="640"/>
      <c r="AK630" s="640"/>
      <c r="AL630" s="640"/>
      <c r="AN630" s="595"/>
    </row>
    <row r="631" spans="1:42" s="549" customFormat="1" ht="12.75" customHeight="1">
      <c r="B631" s="536"/>
      <c r="C631" s="929"/>
      <c r="D631" s="640"/>
      <c r="E631" s="2393"/>
      <c r="F631" s="2393"/>
      <c r="G631" s="2393"/>
      <c r="H631" s="2393"/>
      <c r="I631" s="2393"/>
      <c r="J631" s="2393"/>
      <c r="K631" s="2393"/>
      <c r="L631" s="2393"/>
      <c r="M631" s="2393"/>
      <c r="N631" s="2393"/>
      <c r="O631" s="2393"/>
      <c r="P631" s="2393"/>
      <c r="Q631" s="2393"/>
      <c r="R631" s="2393"/>
      <c r="S631" s="2393"/>
      <c r="T631" s="2393"/>
      <c r="U631" s="2393"/>
      <c r="V631" s="2393"/>
      <c r="W631" s="2393"/>
      <c r="X631" s="2393"/>
      <c r="Y631" s="2393"/>
      <c r="Z631" s="2393"/>
      <c r="AA631" s="2393"/>
      <c r="AB631" s="2393"/>
      <c r="AC631" s="2393"/>
      <c r="AD631" s="2393"/>
      <c r="AE631" s="2393"/>
      <c r="AF631" s="2393"/>
      <c r="AG631" s="2393"/>
      <c r="AH631" s="640"/>
      <c r="AI631" s="640"/>
      <c r="AJ631" s="640"/>
      <c r="AK631" s="640"/>
      <c r="AL631" s="640"/>
      <c r="AN631" s="595"/>
    </row>
    <row r="632" spans="1:42" s="549" customFormat="1" ht="12.75" customHeight="1">
      <c r="B632" s="536"/>
      <c r="C632" s="929"/>
      <c r="D632" s="640"/>
      <c r="E632" s="2393"/>
      <c r="F632" s="2393"/>
      <c r="G632" s="2393"/>
      <c r="H632" s="2393"/>
      <c r="I632" s="2393"/>
      <c r="J632" s="2393"/>
      <c r="K632" s="2393"/>
      <c r="L632" s="2393"/>
      <c r="M632" s="2393"/>
      <c r="N632" s="2393"/>
      <c r="O632" s="2393"/>
      <c r="P632" s="2393"/>
      <c r="Q632" s="2393"/>
      <c r="R632" s="2393"/>
      <c r="S632" s="2393"/>
      <c r="T632" s="2393"/>
      <c r="U632" s="2393"/>
      <c r="V632" s="2393"/>
      <c r="W632" s="2393"/>
      <c r="X632" s="2393"/>
      <c r="Y632" s="2393"/>
      <c r="Z632" s="2393"/>
      <c r="AA632" s="2393"/>
      <c r="AB632" s="2393"/>
      <c r="AC632" s="2393"/>
      <c r="AD632" s="2393"/>
      <c r="AE632" s="2393"/>
      <c r="AF632" s="2393"/>
      <c r="AG632" s="239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6">
        <f>VLOOKUP($H$619,$AO$599:$AP$604,2,FALSE)+IF(R619=AO607,0,VLOOKUP($I$627,$AO$626:$AP$628,2,FALSE))</f>
        <v>7</v>
      </c>
      <c r="AK634" s="239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7" t="s">
        <v>1681</v>
      </c>
      <c r="F638" s="2537"/>
      <c r="G638" s="2537"/>
      <c r="H638" s="2537"/>
      <c r="I638" s="2537"/>
      <c r="J638" s="2537"/>
      <c r="K638" s="2537"/>
      <c r="L638" s="2537"/>
      <c r="M638" s="2537"/>
      <c r="N638" s="2537"/>
      <c r="O638" s="2537"/>
      <c r="P638" s="2537"/>
      <c r="Q638" s="2537"/>
      <c r="R638" s="2537"/>
      <c r="S638" s="2537"/>
      <c r="T638" s="2537"/>
      <c r="U638" s="2537"/>
      <c r="V638" s="2537"/>
      <c r="W638" s="2537"/>
      <c r="X638" s="2537"/>
      <c r="Y638" s="2537"/>
      <c r="Z638" s="2537"/>
      <c r="AA638" s="2537"/>
      <c r="AB638" s="2537"/>
      <c r="AC638" s="2537"/>
      <c r="AD638" s="2537"/>
      <c r="AE638" s="539"/>
      <c r="AF638" s="2394" t="s">
        <v>1344</v>
      </c>
      <c r="AG638" s="2394"/>
      <c r="AH638" s="2394"/>
      <c r="AI638" s="2394"/>
      <c r="AJ638" s="2394"/>
      <c r="AK638" s="2394"/>
      <c r="AL638" s="2394"/>
      <c r="AM638" s="549"/>
      <c r="AN638" s="674"/>
    </row>
    <row r="639" spans="1:42" s="549" customFormat="1" ht="12.75" customHeight="1">
      <c r="A639" s="675"/>
      <c r="B639" s="536"/>
      <c r="C639" s="929"/>
      <c r="D639" s="659"/>
      <c r="E639" s="2537"/>
      <c r="F639" s="2537"/>
      <c r="G639" s="2537"/>
      <c r="H639" s="2537"/>
      <c r="I639" s="2537"/>
      <c r="J639" s="2537"/>
      <c r="K639" s="2537"/>
      <c r="L639" s="2537"/>
      <c r="M639" s="2537"/>
      <c r="N639" s="2537"/>
      <c r="O639" s="2537"/>
      <c r="P639" s="2537"/>
      <c r="Q639" s="2537"/>
      <c r="R639" s="2537"/>
      <c r="S639" s="2537"/>
      <c r="T639" s="2537"/>
      <c r="U639" s="2537"/>
      <c r="V639" s="2537"/>
      <c r="W639" s="2537"/>
      <c r="X639" s="2537"/>
      <c r="Y639" s="2537"/>
      <c r="Z639" s="2537"/>
      <c r="AA639" s="2537"/>
      <c r="AB639" s="2537"/>
      <c r="AC639" s="2537"/>
      <c r="AD639" s="2537"/>
      <c r="AE639" s="536"/>
      <c r="AF639" s="536"/>
      <c r="AG639" s="536"/>
      <c r="AH639" s="536"/>
      <c r="AI639" s="536"/>
      <c r="AJ639" s="536"/>
      <c r="AK639" s="536"/>
      <c r="AL639" s="536"/>
      <c r="AN639" s="595"/>
    </row>
    <row r="640" spans="1:42" s="549" customFormat="1" ht="12.75" customHeight="1">
      <c r="B640" s="536"/>
      <c r="C640" s="927"/>
      <c r="D640" s="659"/>
      <c r="E640" s="2537"/>
      <c r="F640" s="2537"/>
      <c r="G640" s="2537"/>
      <c r="H640" s="2537"/>
      <c r="I640" s="2537"/>
      <c r="J640" s="2537"/>
      <c r="K640" s="2537"/>
      <c r="L640" s="2537"/>
      <c r="M640" s="2537"/>
      <c r="N640" s="2537"/>
      <c r="O640" s="2537"/>
      <c r="P640" s="2537"/>
      <c r="Q640" s="2537"/>
      <c r="R640" s="2537"/>
      <c r="S640" s="2537"/>
      <c r="T640" s="2537"/>
      <c r="U640" s="2537"/>
      <c r="V640" s="2537"/>
      <c r="W640" s="2537"/>
      <c r="X640" s="2537"/>
      <c r="Y640" s="2537"/>
      <c r="Z640" s="2537"/>
      <c r="AA640" s="2537"/>
      <c r="AB640" s="2537"/>
      <c r="AC640" s="2537"/>
      <c r="AD640" s="2537"/>
      <c r="AE640" s="536"/>
      <c r="AF640" s="536"/>
      <c r="AG640" s="536"/>
      <c r="AH640" s="536"/>
      <c r="AI640" s="536"/>
      <c r="AJ640" s="536"/>
      <c r="AK640" s="536"/>
      <c r="AL640" s="536"/>
      <c r="AN640" s="595"/>
    </row>
    <row r="641" spans="1:42" s="549" customFormat="1" ht="12.75" customHeight="1">
      <c r="B641" s="536"/>
      <c r="C641" s="927"/>
      <c r="D641" s="659"/>
      <c r="E641" s="2537"/>
      <c r="F641" s="2537"/>
      <c r="G641" s="2537"/>
      <c r="H641" s="2537"/>
      <c r="I641" s="2537"/>
      <c r="J641" s="2537"/>
      <c r="K641" s="2537"/>
      <c r="L641" s="2537"/>
      <c r="M641" s="2537"/>
      <c r="N641" s="2537"/>
      <c r="O641" s="2537"/>
      <c r="P641" s="2537"/>
      <c r="Q641" s="2537"/>
      <c r="R641" s="2537"/>
      <c r="S641" s="2537"/>
      <c r="T641" s="2537"/>
      <c r="U641" s="2537"/>
      <c r="V641" s="2537"/>
      <c r="W641" s="2537"/>
      <c r="X641" s="2537"/>
      <c r="Y641" s="2537"/>
      <c r="Z641" s="2537"/>
      <c r="AA641" s="2537"/>
      <c r="AB641" s="2537"/>
      <c r="AC641" s="2537"/>
      <c r="AD641" s="2537"/>
      <c r="AE641" s="536"/>
      <c r="AF641" s="536"/>
      <c r="AG641" s="536"/>
      <c r="AH641" s="536"/>
      <c r="AI641" s="536"/>
      <c r="AJ641" s="536"/>
      <c r="AK641" s="536"/>
      <c r="AL641" s="536"/>
      <c r="AN641" s="595"/>
    </row>
    <row r="642" spans="1:42" s="549" customFormat="1" ht="12.75" customHeight="1">
      <c r="B642" s="536"/>
      <c r="C642" s="927"/>
      <c r="D642" s="659"/>
      <c r="E642" s="2537"/>
      <c r="F642" s="2537"/>
      <c r="G642" s="2537"/>
      <c r="H642" s="2537"/>
      <c r="I642" s="2537"/>
      <c r="J642" s="2537"/>
      <c r="K642" s="2537"/>
      <c r="L642" s="2537"/>
      <c r="M642" s="2537"/>
      <c r="N642" s="2537"/>
      <c r="O642" s="2537"/>
      <c r="P642" s="2537"/>
      <c r="Q642" s="2537"/>
      <c r="R642" s="2537"/>
      <c r="S642" s="2537"/>
      <c r="T642" s="2537"/>
      <c r="U642" s="2537"/>
      <c r="V642" s="2537"/>
      <c r="W642" s="2537"/>
      <c r="X642" s="2537"/>
      <c r="Y642" s="2537"/>
      <c r="Z642" s="2537"/>
      <c r="AA642" s="2537"/>
      <c r="AB642" s="2537"/>
      <c r="AC642" s="2537"/>
      <c r="AD642" s="2537"/>
      <c r="AE642" s="536"/>
      <c r="AF642" s="536"/>
      <c r="AG642" s="536"/>
      <c r="AH642" s="536"/>
      <c r="AI642" s="536"/>
      <c r="AJ642" s="536"/>
      <c r="AK642" s="536"/>
      <c r="AL642" s="536"/>
      <c r="AN642" s="595"/>
    </row>
    <row r="643" spans="1:42" s="549" customFormat="1" ht="12.75" customHeight="1">
      <c r="B643" s="536"/>
      <c r="C643" s="927"/>
      <c r="D643" s="659"/>
      <c r="E643" s="2537"/>
      <c r="F643" s="2537"/>
      <c r="G643" s="2537"/>
      <c r="H643" s="2537"/>
      <c r="I643" s="2537"/>
      <c r="J643" s="2537"/>
      <c r="K643" s="2537"/>
      <c r="L643" s="2537"/>
      <c r="M643" s="2537"/>
      <c r="N643" s="2537"/>
      <c r="O643" s="2537"/>
      <c r="P643" s="2537"/>
      <c r="Q643" s="2537"/>
      <c r="R643" s="2537"/>
      <c r="S643" s="2537"/>
      <c r="T643" s="2537"/>
      <c r="U643" s="2537"/>
      <c r="V643" s="2537"/>
      <c r="W643" s="2537"/>
      <c r="X643" s="2537"/>
      <c r="Y643" s="2537"/>
      <c r="Z643" s="2537"/>
      <c r="AA643" s="2537"/>
      <c r="AB643" s="2537"/>
      <c r="AC643" s="2537"/>
      <c r="AD643" s="2537"/>
      <c r="AE643" s="536"/>
      <c r="AF643" s="536"/>
      <c r="AG643" s="536"/>
      <c r="AH643" s="536"/>
      <c r="AI643" s="536"/>
      <c r="AJ643" s="536"/>
      <c r="AK643" s="536"/>
      <c r="AL643" s="536"/>
      <c r="AN643" s="595"/>
    </row>
    <row r="644" spans="1:42" s="549" customFormat="1" ht="12.75" customHeight="1">
      <c r="A644" s="635"/>
      <c r="B644" s="614"/>
      <c r="C644" s="936"/>
      <c r="D644" s="659"/>
      <c r="E644" s="2537"/>
      <c r="F644" s="2537"/>
      <c r="G644" s="2537"/>
      <c r="H644" s="2537"/>
      <c r="I644" s="2537"/>
      <c r="J644" s="2537"/>
      <c r="K644" s="2537"/>
      <c r="L644" s="2537"/>
      <c r="M644" s="2537"/>
      <c r="N644" s="2537"/>
      <c r="O644" s="2537"/>
      <c r="P644" s="2537"/>
      <c r="Q644" s="2537"/>
      <c r="R644" s="2537"/>
      <c r="S644" s="2537"/>
      <c r="T644" s="2537"/>
      <c r="U644" s="2537"/>
      <c r="V644" s="2537"/>
      <c r="W644" s="2537"/>
      <c r="X644" s="2537"/>
      <c r="Y644" s="2537"/>
      <c r="Z644" s="2537"/>
      <c r="AA644" s="2537"/>
      <c r="AB644" s="2537"/>
      <c r="AC644" s="2537"/>
      <c r="AD644" s="2537"/>
      <c r="AE644" s="614"/>
      <c r="AF644" s="614"/>
      <c r="AG644" s="614"/>
      <c r="AH644" s="614"/>
      <c r="AI644" s="614"/>
      <c r="AJ644" s="614"/>
      <c r="AK644" s="536"/>
      <c r="AL644" s="536"/>
      <c r="AN644" s="595"/>
    </row>
    <row r="645" spans="1:42" s="549" customFormat="1" ht="12.75" customHeight="1">
      <c r="B645" s="614"/>
      <c r="C645" s="936"/>
      <c r="D645" s="659"/>
      <c r="E645" s="2537"/>
      <c r="F645" s="2537"/>
      <c r="G645" s="2537"/>
      <c r="H645" s="2537"/>
      <c r="I645" s="2537"/>
      <c r="J645" s="2537"/>
      <c r="K645" s="2537"/>
      <c r="L645" s="2537"/>
      <c r="M645" s="2537"/>
      <c r="N645" s="2537"/>
      <c r="O645" s="2537"/>
      <c r="P645" s="2537"/>
      <c r="Q645" s="2537"/>
      <c r="R645" s="2537"/>
      <c r="S645" s="2537"/>
      <c r="T645" s="2537"/>
      <c r="U645" s="2537"/>
      <c r="V645" s="2537"/>
      <c r="W645" s="2537"/>
      <c r="X645" s="2537"/>
      <c r="Y645" s="2537"/>
      <c r="Z645" s="2537"/>
      <c r="AA645" s="2537"/>
      <c r="AB645" s="2537"/>
      <c r="AC645" s="2537"/>
      <c r="AD645" s="253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01" t="s">
        <v>590</v>
      </c>
      <c r="Y647" s="2401"/>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4" t="s">
        <v>1398</v>
      </c>
      <c r="AG649" s="2394"/>
      <c r="AH649" s="2394"/>
      <c r="AI649" s="2394"/>
      <c r="AJ649" s="2394"/>
      <c r="AK649" s="2394"/>
      <c r="AL649" s="2394"/>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5" t="s">
        <v>686</v>
      </c>
      <c r="I651" s="239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6">
        <f>VLOOKUP($H$651,$AO$618:$AP$620,2,FALSE)</f>
        <v>3</v>
      </c>
      <c r="AK653" s="2397"/>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3" t="s">
        <v>2050</v>
      </c>
      <c r="F657" s="2393"/>
      <c r="G657" s="2393"/>
      <c r="H657" s="2393"/>
      <c r="I657" s="2393"/>
      <c r="J657" s="2393"/>
      <c r="K657" s="2393"/>
      <c r="L657" s="2393"/>
      <c r="M657" s="2393"/>
      <c r="N657" s="2393"/>
      <c r="O657" s="2393"/>
      <c r="P657" s="2393"/>
      <c r="Q657" s="2393"/>
      <c r="R657" s="2393"/>
      <c r="S657" s="2393"/>
      <c r="T657" s="2393"/>
      <c r="U657" s="2393"/>
      <c r="V657" s="2393"/>
      <c r="W657" s="2393"/>
      <c r="X657" s="2393"/>
      <c r="Y657" s="2393"/>
      <c r="Z657" s="2393"/>
      <c r="AA657" s="2393"/>
      <c r="AB657" s="2393"/>
      <c r="AC657" s="2393"/>
      <c r="AD657" s="2393"/>
      <c r="AE657" s="536"/>
      <c r="AF657" s="2394" t="s">
        <v>1344</v>
      </c>
      <c r="AG657" s="2394"/>
      <c r="AH657" s="2394"/>
      <c r="AI657" s="2394"/>
      <c r="AJ657" s="2394"/>
      <c r="AK657" s="2394"/>
      <c r="AL657" s="2394"/>
      <c r="AN657" s="595"/>
    </row>
    <row r="658" spans="1:42" s="549" customFormat="1" ht="12.75" customHeight="1">
      <c r="B658" s="536"/>
      <c r="C658" s="536"/>
      <c r="D658" s="659"/>
      <c r="E658" s="2393"/>
      <c r="F658" s="2393"/>
      <c r="G658" s="2393"/>
      <c r="H658" s="2393"/>
      <c r="I658" s="2393"/>
      <c r="J658" s="2393"/>
      <c r="K658" s="2393"/>
      <c r="L658" s="2393"/>
      <c r="M658" s="2393"/>
      <c r="N658" s="2393"/>
      <c r="O658" s="2393"/>
      <c r="P658" s="2393"/>
      <c r="Q658" s="2393"/>
      <c r="R658" s="2393"/>
      <c r="S658" s="2393"/>
      <c r="T658" s="2393"/>
      <c r="U658" s="2393"/>
      <c r="V658" s="2393"/>
      <c r="W658" s="2393"/>
      <c r="X658" s="2393"/>
      <c r="Y658" s="2393"/>
      <c r="Z658" s="2393"/>
      <c r="AA658" s="2393"/>
      <c r="AB658" s="2393"/>
      <c r="AC658" s="2393"/>
      <c r="AD658" s="239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4" t="s">
        <v>1398</v>
      </c>
      <c r="AG660" s="2394"/>
      <c r="AH660" s="2394"/>
      <c r="AI660" s="2394"/>
      <c r="AJ660" s="2394"/>
      <c r="AK660" s="2394"/>
      <c r="AL660" s="2394"/>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5" t="s">
        <v>686</v>
      </c>
      <c r="I663" s="239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6">
        <f>VLOOKUP(H663,AT618:AU620,2,FALSE)</f>
        <v>3</v>
      </c>
      <c r="AK665" s="239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3" t="s">
        <v>1408</v>
      </c>
      <c r="F670" s="2393"/>
      <c r="G670" s="2393"/>
      <c r="H670" s="2393"/>
      <c r="I670" s="2393"/>
      <c r="J670" s="2393"/>
      <c r="K670" s="2393"/>
      <c r="L670" s="2393"/>
      <c r="M670" s="2393"/>
      <c r="N670" s="2393"/>
      <c r="O670" s="2393"/>
      <c r="P670" s="2393"/>
      <c r="Q670" s="2393"/>
      <c r="R670" s="2393"/>
      <c r="S670" s="2393"/>
      <c r="T670" s="2393"/>
      <c r="U670" s="2393"/>
      <c r="V670" s="2393"/>
      <c r="W670" s="2393"/>
      <c r="X670" s="2393"/>
      <c r="Y670" s="2393"/>
      <c r="Z670" s="2393"/>
      <c r="AA670" s="2393"/>
      <c r="AB670" s="2393"/>
      <c r="AC670" s="2393"/>
      <c r="AD670" s="536"/>
      <c r="AE670" s="536"/>
      <c r="AF670" s="2394" t="s">
        <v>1369</v>
      </c>
      <c r="AG670" s="2394"/>
      <c r="AH670" s="2394"/>
      <c r="AI670" s="2394"/>
      <c r="AJ670" s="2394"/>
      <c r="AK670" s="2394"/>
      <c r="AL670" s="2394"/>
      <c r="AN670" s="595"/>
    </row>
    <row r="671" spans="1:42" s="549" customFormat="1" ht="12.75" customHeight="1">
      <c r="B671" s="536"/>
      <c r="C671" s="539"/>
      <c r="D671" s="536"/>
      <c r="E671" s="2393"/>
      <c r="F671" s="2393"/>
      <c r="G671" s="2393"/>
      <c r="H671" s="2393"/>
      <c r="I671" s="2393"/>
      <c r="J671" s="2393"/>
      <c r="K671" s="2393"/>
      <c r="L671" s="2393"/>
      <c r="M671" s="2393"/>
      <c r="N671" s="2393"/>
      <c r="O671" s="2393"/>
      <c r="P671" s="2393"/>
      <c r="Q671" s="2393"/>
      <c r="R671" s="2393"/>
      <c r="S671" s="2393"/>
      <c r="T671" s="2393"/>
      <c r="U671" s="2393"/>
      <c r="V671" s="2393"/>
      <c r="W671" s="2393"/>
      <c r="X671" s="2393"/>
      <c r="Y671" s="2393"/>
      <c r="Z671" s="2393"/>
      <c r="AA671" s="2393"/>
      <c r="AB671" s="2393"/>
      <c r="AC671" s="2393"/>
      <c r="AD671" s="536"/>
      <c r="AE671" s="536"/>
      <c r="AF671" s="536"/>
      <c r="AG671" s="536"/>
      <c r="AH671" s="536"/>
      <c r="AI671" s="536"/>
      <c r="AJ671" s="536"/>
      <c r="AK671" s="536"/>
      <c r="AL671" s="536"/>
      <c r="AN671" s="595"/>
    </row>
    <row r="672" spans="1:42" s="549" customFormat="1" ht="12.75" customHeight="1">
      <c r="B672" s="536"/>
      <c r="C672" s="539"/>
      <c r="D672" s="659"/>
      <c r="E672" s="2393"/>
      <c r="F672" s="2393"/>
      <c r="G672" s="2393"/>
      <c r="H672" s="2393"/>
      <c r="I672" s="2393"/>
      <c r="J672" s="2393"/>
      <c r="K672" s="2393"/>
      <c r="L672" s="2393"/>
      <c r="M672" s="2393"/>
      <c r="N672" s="2393"/>
      <c r="O672" s="2393"/>
      <c r="P672" s="2393"/>
      <c r="Q672" s="2393"/>
      <c r="R672" s="2393"/>
      <c r="S672" s="2393"/>
      <c r="T672" s="2393"/>
      <c r="U672" s="2393"/>
      <c r="V672" s="2393"/>
      <c r="W672" s="2393"/>
      <c r="X672" s="2393"/>
      <c r="Y672" s="2393"/>
      <c r="Z672" s="2393"/>
      <c r="AA672" s="2393"/>
      <c r="AB672" s="2393"/>
      <c r="AC672" s="239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3" t="s">
        <v>1409</v>
      </c>
      <c r="F674" s="2393"/>
      <c r="G674" s="2393"/>
      <c r="H674" s="2393"/>
      <c r="I674" s="2393"/>
      <c r="J674" s="2393"/>
      <c r="K674" s="2393"/>
      <c r="L674" s="2393"/>
      <c r="M674" s="2393"/>
      <c r="N674" s="2393"/>
      <c r="O674" s="2393"/>
      <c r="P674" s="2393"/>
      <c r="Q674" s="2393"/>
      <c r="R674" s="2393"/>
      <c r="S674" s="2393"/>
      <c r="T674" s="2393"/>
      <c r="U674" s="2393"/>
      <c r="V674" s="2393"/>
      <c r="W674" s="2393"/>
      <c r="X674" s="2393"/>
      <c r="Y674" s="2393"/>
      <c r="Z674" s="2393"/>
      <c r="AA674" s="2393"/>
      <c r="AB674" s="2393"/>
      <c r="AC674" s="2393"/>
      <c r="AD674" s="536"/>
      <c r="AE674" s="536"/>
      <c r="AF674" s="2394" t="s">
        <v>1389</v>
      </c>
      <c r="AG674" s="2394"/>
      <c r="AH674" s="2394"/>
      <c r="AI674" s="2394"/>
      <c r="AJ674" s="2394"/>
      <c r="AK674" s="2394"/>
      <c r="AL674" s="2394"/>
      <c r="AN674" s="595"/>
    </row>
    <row r="675" spans="1:42" s="549" customFormat="1" ht="12.75" customHeight="1">
      <c r="B675" s="536"/>
      <c r="C675" s="539"/>
      <c r="D675" s="536"/>
      <c r="E675" s="2393"/>
      <c r="F675" s="2393"/>
      <c r="G675" s="2393"/>
      <c r="H675" s="2393"/>
      <c r="I675" s="2393"/>
      <c r="J675" s="2393"/>
      <c r="K675" s="2393"/>
      <c r="L675" s="2393"/>
      <c r="M675" s="2393"/>
      <c r="N675" s="2393"/>
      <c r="O675" s="2393"/>
      <c r="P675" s="2393"/>
      <c r="Q675" s="2393"/>
      <c r="R675" s="2393"/>
      <c r="S675" s="2393"/>
      <c r="T675" s="2393"/>
      <c r="U675" s="2393"/>
      <c r="V675" s="2393"/>
      <c r="W675" s="2393"/>
      <c r="X675" s="2393"/>
      <c r="Y675" s="2393"/>
      <c r="Z675" s="2393"/>
      <c r="AA675" s="2393"/>
      <c r="AB675" s="2393"/>
      <c r="AC675" s="2393"/>
      <c r="AD675" s="536"/>
      <c r="AE675" s="536"/>
      <c r="AF675" s="536"/>
      <c r="AG675" s="536"/>
      <c r="AH675" s="536"/>
      <c r="AI675" s="536"/>
      <c r="AJ675" s="536"/>
      <c r="AK675" s="536"/>
      <c r="AL675" s="536"/>
      <c r="AN675" s="595"/>
    </row>
    <row r="676" spans="1:42" s="549" customFormat="1" ht="15" customHeight="1">
      <c r="B676" s="536"/>
      <c r="C676" s="539"/>
      <c r="D676" s="659"/>
      <c r="E676" s="2393"/>
      <c r="F676" s="2393"/>
      <c r="G676" s="2393"/>
      <c r="H676" s="2393"/>
      <c r="I676" s="2393"/>
      <c r="J676" s="2393"/>
      <c r="K676" s="2393"/>
      <c r="L676" s="2393"/>
      <c r="M676" s="2393"/>
      <c r="N676" s="2393"/>
      <c r="O676" s="2393"/>
      <c r="P676" s="2393"/>
      <c r="Q676" s="2393"/>
      <c r="R676" s="2393"/>
      <c r="S676" s="2393"/>
      <c r="T676" s="2393"/>
      <c r="U676" s="2393"/>
      <c r="V676" s="2393"/>
      <c r="W676" s="2393"/>
      <c r="X676" s="2393"/>
      <c r="Y676" s="2393"/>
      <c r="Z676" s="2393"/>
      <c r="AA676" s="2393"/>
      <c r="AB676" s="2393"/>
      <c r="AC676" s="239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3" t="s">
        <v>1410</v>
      </c>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536"/>
      <c r="AE678" s="536"/>
      <c r="AF678" s="2394" t="s">
        <v>1344</v>
      </c>
      <c r="AG678" s="2394"/>
      <c r="AH678" s="2394"/>
      <c r="AI678" s="2394"/>
      <c r="AJ678" s="2394"/>
      <c r="AK678" s="2394"/>
      <c r="AL678" s="2394"/>
      <c r="AN678" s="595"/>
    </row>
    <row r="679" spans="1:42" s="549" customFormat="1" ht="12.75" customHeight="1">
      <c r="B679" s="536"/>
      <c r="C679" s="927"/>
      <c r="D679" s="536"/>
      <c r="E679" s="2393"/>
      <c r="F679" s="2393"/>
      <c r="G679" s="2393"/>
      <c r="H679" s="2393"/>
      <c r="I679" s="2393"/>
      <c r="J679" s="2393"/>
      <c r="K679" s="2393"/>
      <c r="L679" s="2393"/>
      <c r="M679" s="2393"/>
      <c r="N679" s="2393"/>
      <c r="O679" s="2393"/>
      <c r="P679" s="2393"/>
      <c r="Q679" s="2393"/>
      <c r="R679" s="2393"/>
      <c r="S679" s="2393"/>
      <c r="T679" s="2393"/>
      <c r="U679" s="2393"/>
      <c r="V679" s="2393"/>
      <c r="W679" s="2393"/>
      <c r="X679" s="2393"/>
      <c r="Y679" s="2393"/>
      <c r="Z679" s="2393"/>
      <c r="AA679" s="2393"/>
      <c r="AB679" s="2393"/>
      <c r="AC679" s="2393"/>
      <c r="AD679" s="536"/>
      <c r="AE679" s="2394"/>
      <c r="AF679" s="2394"/>
      <c r="AG679" s="2394"/>
      <c r="AH679" s="2394"/>
      <c r="AI679" s="2394"/>
      <c r="AJ679" s="2394"/>
      <c r="AK679" s="2394"/>
      <c r="AL679" s="592"/>
      <c r="AN679" s="595"/>
      <c r="AO679" s="549" t="s">
        <v>590</v>
      </c>
      <c r="AP679" s="669">
        <v>0</v>
      </c>
    </row>
    <row r="680" spans="1:42" s="549" customFormat="1" ht="12.75" customHeight="1">
      <c r="A680" s="675"/>
      <c r="B680" s="536"/>
      <c r="C680" s="536"/>
      <c r="D680" s="659"/>
      <c r="E680" s="2393"/>
      <c r="F680" s="2393"/>
      <c r="G680" s="2393"/>
      <c r="H680" s="2393"/>
      <c r="I680" s="2393"/>
      <c r="J680" s="2393"/>
      <c r="K680" s="2393"/>
      <c r="L680" s="2393"/>
      <c r="M680" s="2393"/>
      <c r="N680" s="2393"/>
      <c r="O680" s="2393"/>
      <c r="P680" s="2393"/>
      <c r="Q680" s="2393"/>
      <c r="R680" s="2393"/>
      <c r="S680" s="2393"/>
      <c r="T680" s="2393"/>
      <c r="U680" s="2393"/>
      <c r="V680" s="2393"/>
      <c r="W680" s="2393"/>
      <c r="X680" s="2393"/>
      <c r="Y680" s="2393"/>
      <c r="Z680" s="2393"/>
      <c r="AA680" s="2393"/>
      <c r="AB680" s="2393"/>
      <c r="AC680" s="2393"/>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93" t="s">
        <v>1411</v>
      </c>
      <c r="F682" s="2393"/>
      <c r="G682" s="2393"/>
      <c r="H682" s="2393"/>
      <c r="I682" s="2393"/>
      <c r="J682" s="2393"/>
      <c r="K682" s="2393"/>
      <c r="L682" s="2393"/>
      <c r="M682" s="2393"/>
      <c r="N682" s="2393"/>
      <c r="O682" s="2393"/>
      <c r="P682" s="2393"/>
      <c r="Q682" s="2393"/>
      <c r="R682" s="2393"/>
      <c r="S682" s="2393"/>
      <c r="T682" s="2393"/>
      <c r="U682" s="2393"/>
      <c r="V682" s="2393"/>
      <c r="W682" s="2393"/>
      <c r="X682" s="2393"/>
      <c r="Y682" s="2393"/>
      <c r="Z682" s="2393"/>
      <c r="AA682" s="2393"/>
      <c r="AB682" s="2393"/>
      <c r="AC682" s="2393"/>
      <c r="AD682" s="536"/>
      <c r="AE682" s="536"/>
      <c r="AF682" s="2394" t="s">
        <v>1389</v>
      </c>
      <c r="AG682" s="2394"/>
      <c r="AH682" s="2394"/>
      <c r="AI682" s="2394"/>
      <c r="AJ682" s="2394"/>
      <c r="AK682" s="2394"/>
      <c r="AL682" s="2394"/>
      <c r="AN682" s="595"/>
    </row>
    <row r="683" spans="1:42" s="549" customFormat="1" ht="12.75" customHeight="1">
      <c r="A683" s="666"/>
      <c r="B683" s="536"/>
      <c r="C683" s="943"/>
      <c r="D683" s="659"/>
      <c r="E683" s="2393"/>
      <c r="F683" s="2393"/>
      <c r="G683" s="2393"/>
      <c r="H683" s="2393"/>
      <c r="I683" s="2393"/>
      <c r="J683" s="2393"/>
      <c r="K683" s="2393"/>
      <c r="L683" s="2393"/>
      <c r="M683" s="2393"/>
      <c r="N683" s="2393"/>
      <c r="O683" s="2393"/>
      <c r="P683" s="2393"/>
      <c r="Q683" s="2393"/>
      <c r="R683" s="2393"/>
      <c r="S683" s="2393"/>
      <c r="T683" s="2393"/>
      <c r="U683" s="2393"/>
      <c r="V683" s="2393"/>
      <c r="W683" s="2393"/>
      <c r="X683" s="2393"/>
      <c r="Y683" s="2393"/>
      <c r="Z683" s="2393"/>
      <c r="AA683" s="2393"/>
      <c r="AB683" s="2393"/>
      <c r="AC683" s="239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3"/>
      <c r="F684" s="2393"/>
      <c r="G684" s="2393"/>
      <c r="H684" s="2393"/>
      <c r="I684" s="2393"/>
      <c r="J684" s="2393"/>
      <c r="K684" s="2393"/>
      <c r="L684" s="2393"/>
      <c r="M684" s="2393"/>
      <c r="N684" s="2393"/>
      <c r="O684" s="2393"/>
      <c r="P684" s="2393"/>
      <c r="Q684" s="2393"/>
      <c r="R684" s="2393"/>
      <c r="S684" s="2393"/>
      <c r="T684" s="2393"/>
      <c r="U684" s="2393"/>
      <c r="V684" s="2393"/>
      <c r="W684" s="2393"/>
      <c r="X684" s="2393"/>
      <c r="Y684" s="2393"/>
      <c r="Z684" s="2393"/>
      <c r="AA684" s="2393"/>
      <c r="AB684" s="2393"/>
      <c r="AC684" s="239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3" t="s">
        <v>1412</v>
      </c>
      <c r="F686" s="2393"/>
      <c r="G686" s="2393"/>
      <c r="H686" s="2393"/>
      <c r="I686" s="2393"/>
      <c r="J686" s="2393"/>
      <c r="K686" s="2393"/>
      <c r="L686" s="2393"/>
      <c r="M686" s="2393"/>
      <c r="N686" s="2393"/>
      <c r="O686" s="2393"/>
      <c r="P686" s="2393"/>
      <c r="Q686" s="2393"/>
      <c r="R686" s="2393"/>
      <c r="S686" s="2393"/>
      <c r="T686" s="2393"/>
      <c r="U686" s="2393"/>
      <c r="V686" s="2393"/>
      <c r="W686" s="2393"/>
      <c r="X686" s="2393"/>
      <c r="Y686" s="2393"/>
      <c r="Z686" s="2393"/>
      <c r="AA686" s="2393"/>
      <c r="AB686" s="2393"/>
      <c r="AC686" s="2393"/>
      <c r="AD686" s="536"/>
      <c r="AE686" s="536"/>
      <c r="AF686" s="2394" t="s">
        <v>1344</v>
      </c>
      <c r="AG686" s="2394"/>
      <c r="AH686" s="2394"/>
      <c r="AI686" s="2394"/>
      <c r="AJ686" s="2394"/>
      <c r="AK686" s="2394"/>
      <c r="AL686" s="2394"/>
      <c r="AM686" s="594"/>
      <c r="AN686" s="595"/>
    </row>
    <row r="687" spans="1:42" s="549" customFormat="1" ht="12.75" customHeight="1">
      <c r="B687" s="536"/>
      <c r="C687" s="927"/>
      <c r="D687" s="659"/>
      <c r="E687" s="2393"/>
      <c r="F687" s="2393"/>
      <c r="G687" s="2393"/>
      <c r="H687" s="2393"/>
      <c r="I687" s="2393"/>
      <c r="J687" s="2393"/>
      <c r="K687" s="2393"/>
      <c r="L687" s="2393"/>
      <c r="M687" s="2393"/>
      <c r="N687" s="2393"/>
      <c r="O687" s="2393"/>
      <c r="P687" s="2393"/>
      <c r="Q687" s="2393"/>
      <c r="R687" s="2393"/>
      <c r="S687" s="2393"/>
      <c r="T687" s="2393"/>
      <c r="U687" s="2393"/>
      <c r="V687" s="2393"/>
      <c r="W687" s="2393"/>
      <c r="X687" s="2393"/>
      <c r="Y687" s="2393"/>
      <c r="Z687" s="2393"/>
      <c r="AA687" s="2393"/>
      <c r="AB687" s="2393"/>
      <c r="AC687" s="2393"/>
      <c r="AD687" s="536"/>
      <c r="AE687" s="536"/>
      <c r="AF687" s="536"/>
      <c r="AG687" s="536"/>
      <c r="AH687" s="536"/>
      <c r="AI687" s="536"/>
      <c r="AJ687" s="536"/>
      <c r="AK687" s="536"/>
      <c r="AL687" s="536"/>
      <c r="AM687" s="594"/>
      <c r="AN687" s="595"/>
    </row>
    <row r="688" spans="1:42" s="549" customFormat="1" ht="12.75" customHeight="1">
      <c r="B688" s="536"/>
      <c r="C688" s="927"/>
      <c r="D688" s="659"/>
      <c r="E688" s="2393"/>
      <c r="F688" s="2393"/>
      <c r="G688" s="2393"/>
      <c r="H688" s="2393"/>
      <c r="I688" s="2393"/>
      <c r="J688" s="2393"/>
      <c r="K688" s="2393"/>
      <c r="L688" s="2393"/>
      <c r="M688" s="2393"/>
      <c r="N688" s="2393"/>
      <c r="O688" s="2393"/>
      <c r="P688" s="2393"/>
      <c r="Q688" s="2393"/>
      <c r="R688" s="2393"/>
      <c r="S688" s="2393"/>
      <c r="T688" s="2393"/>
      <c r="U688" s="2393"/>
      <c r="V688" s="2393"/>
      <c r="W688" s="2393"/>
      <c r="X688" s="2393"/>
      <c r="Y688" s="2393"/>
      <c r="Z688" s="2393"/>
      <c r="AA688" s="2393"/>
      <c r="AB688" s="2393"/>
      <c r="AC688" s="239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3" t="s">
        <v>1413</v>
      </c>
      <c r="F690" s="2393"/>
      <c r="G690" s="2393"/>
      <c r="H690" s="2393"/>
      <c r="I690" s="2393"/>
      <c r="J690" s="2393"/>
      <c r="K690" s="2393"/>
      <c r="L690" s="2393"/>
      <c r="M690" s="2393"/>
      <c r="N690" s="2393"/>
      <c r="O690" s="2393"/>
      <c r="P690" s="2393"/>
      <c r="Q690" s="2393"/>
      <c r="R690" s="2393"/>
      <c r="S690" s="2393"/>
      <c r="T690" s="2393"/>
      <c r="U690" s="2393"/>
      <c r="V690" s="2393"/>
      <c r="W690" s="2393"/>
      <c r="X690" s="2393"/>
      <c r="Y690" s="2393"/>
      <c r="Z690" s="2393"/>
      <c r="AA690" s="2393"/>
      <c r="AB690" s="2393"/>
      <c r="AC690" s="2393"/>
      <c r="AD690" s="536"/>
      <c r="AE690" s="536"/>
      <c r="AF690" s="2394" t="s">
        <v>1398</v>
      </c>
      <c r="AG690" s="2394"/>
      <c r="AH690" s="2394"/>
      <c r="AI690" s="2394"/>
      <c r="AJ690" s="2394"/>
      <c r="AK690" s="2394"/>
      <c r="AL690" s="2394"/>
      <c r="AM690" s="594"/>
      <c r="AN690" s="595"/>
    </row>
    <row r="691" spans="1:50" s="549" customFormat="1" ht="12.75" customHeight="1">
      <c r="A691" s="675"/>
      <c r="B691" s="536"/>
      <c r="C691" s="927"/>
      <c r="D691" s="659"/>
      <c r="E691" s="2393"/>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239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239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93" t="s">
        <v>1414</v>
      </c>
      <c r="F694" s="2393"/>
      <c r="G694" s="2393"/>
      <c r="H694" s="2393"/>
      <c r="I694" s="2393"/>
      <c r="J694" s="2393"/>
      <c r="K694" s="2393"/>
      <c r="L694" s="2393"/>
      <c r="M694" s="2393"/>
      <c r="N694" s="2393"/>
      <c r="O694" s="2393"/>
      <c r="P694" s="2393"/>
      <c r="Q694" s="2393"/>
      <c r="R694" s="2393"/>
      <c r="S694" s="2393"/>
      <c r="T694" s="2393"/>
      <c r="U694" s="2393"/>
      <c r="V694" s="2393"/>
      <c r="W694" s="2393"/>
      <c r="X694" s="2393"/>
      <c r="Y694" s="2393"/>
      <c r="Z694" s="2393"/>
      <c r="AA694" s="2393"/>
      <c r="AB694" s="2393"/>
      <c r="AC694" s="2393"/>
      <c r="AD694" s="536"/>
      <c r="AE694" s="536"/>
      <c r="AF694" s="2394" t="s">
        <v>1415</v>
      </c>
      <c r="AG694" s="2394"/>
      <c r="AH694" s="2394"/>
      <c r="AI694" s="2394"/>
      <c r="AJ694" s="2394"/>
      <c r="AK694" s="2394"/>
      <c r="AL694" s="2394"/>
      <c r="AM694" s="594"/>
      <c r="AN694" s="595"/>
      <c r="AO694" s="609" t="s">
        <v>686</v>
      </c>
      <c r="AP694" s="549">
        <v>3</v>
      </c>
    </row>
    <row r="695" spans="1:50" s="549" customFormat="1" ht="12.75" customHeight="1">
      <c r="A695" s="675"/>
      <c r="B695" s="536"/>
      <c r="C695" s="927"/>
      <c r="D695" s="659"/>
      <c r="E695" s="2393"/>
      <c r="F695" s="2393"/>
      <c r="G695" s="2393"/>
      <c r="H695" s="2393"/>
      <c r="I695" s="2393"/>
      <c r="J695" s="2393"/>
      <c r="K695" s="2393"/>
      <c r="L695" s="2393"/>
      <c r="M695" s="2393"/>
      <c r="N695" s="2393"/>
      <c r="O695" s="2393"/>
      <c r="P695" s="2393"/>
      <c r="Q695" s="2393"/>
      <c r="R695" s="2393"/>
      <c r="S695" s="2393"/>
      <c r="T695" s="2393"/>
      <c r="U695" s="2393"/>
      <c r="V695" s="2393"/>
      <c r="W695" s="2393"/>
      <c r="X695" s="2393"/>
      <c r="Y695" s="2393"/>
      <c r="Z695" s="2393"/>
      <c r="AA695" s="2393"/>
      <c r="AB695" s="2393"/>
      <c r="AC695" s="2393"/>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5" t="s">
        <v>686</v>
      </c>
      <c r="I698" s="239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6">
        <f>VLOOKUP($H$698,$AO$646:$AP$653,2,FALSE)</f>
        <v>5</v>
      </c>
      <c r="AK700" s="239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153</v>
      </c>
    </row>
    <row r="704" spans="1:50" s="549" customFormat="1" ht="12.75" customHeight="1">
      <c r="A704" s="675"/>
      <c r="B704" s="536"/>
      <c r="C704" s="944"/>
      <c r="D704" s="659" t="s">
        <v>686</v>
      </c>
      <c r="E704" s="2399" t="s">
        <v>2141</v>
      </c>
      <c r="F704" s="2399"/>
      <c r="G704" s="2399"/>
      <c r="H704" s="2399"/>
      <c r="I704" s="2399"/>
      <c r="J704" s="2399"/>
      <c r="K704" s="2399"/>
      <c r="L704" s="2399"/>
      <c r="M704" s="2399"/>
      <c r="N704" s="2399"/>
      <c r="O704" s="2399"/>
      <c r="P704" s="2399"/>
      <c r="Q704" s="2399"/>
      <c r="R704" s="2399"/>
      <c r="S704" s="2399"/>
      <c r="T704" s="2399"/>
      <c r="U704" s="2399"/>
      <c r="V704" s="2399"/>
      <c r="W704" s="2399"/>
      <c r="X704" s="2399"/>
      <c r="Y704" s="2399"/>
      <c r="Z704" s="2399"/>
      <c r="AA704" s="2399"/>
      <c r="AB704" s="2399"/>
      <c r="AC704" s="536"/>
      <c r="AD704" s="536"/>
      <c r="AE704" s="536"/>
      <c r="AF704" s="2394" t="s">
        <v>1344</v>
      </c>
      <c r="AG704" s="2394"/>
      <c r="AH704" s="2394"/>
      <c r="AI704" s="2394"/>
      <c r="AJ704" s="2394"/>
      <c r="AK704" s="2394"/>
      <c r="AL704" s="2394"/>
      <c r="AN704" s="595"/>
      <c r="AW704" s="22" t="s">
        <v>2136</v>
      </c>
      <c r="AX704" s="549">
        <f>Application!DE761</f>
        <v>44</v>
      </c>
    </row>
    <row r="705" spans="1:51" s="549" customFormat="1" ht="12.75" customHeight="1">
      <c r="A705" s="675"/>
      <c r="B705" s="536"/>
      <c r="C705" s="944"/>
      <c r="D705" s="659"/>
      <c r="E705" s="2399"/>
      <c r="F705" s="2399"/>
      <c r="G705" s="2399"/>
      <c r="H705" s="2399"/>
      <c r="I705" s="2399"/>
      <c r="J705" s="2399"/>
      <c r="K705" s="2399"/>
      <c r="L705" s="2399"/>
      <c r="M705" s="2399"/>
      <c r="N705" s="2399"/>
      <c r="O705" s="2399"/>
      <c r="P705" s="2399"/>
      <c r="Q705" s="2399"/>
      <c r="R705" s="2399"/>
      <c r="S705" s="2399"/>
      <c r="T705" s="2399"/>
      <c r="U705" s="2399"/>
      <c r="V705" s="2399"/>
      <c r="W705" s="2399"/>
      <c r="X705" s="2399"/>
      <c r="Y705" s="2399"/>
      <c r="Z705" s="2399"/>
      <c r="AA705" s="2399"/>
      <c r="AB705" s="2399"/>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393" t="s">
        <v>2086</v>
      </c>
      <c r="F707" s="2393"/>
      <c r="G707" s="2393"/>
      <c r="H707" s="2393"/>
      <c r="I707" s="2393"/>
      <c r="J707" s="2393"/>
      <c r="K707" s="2393"/>
      <c r="L707" s="2393"/>
      <c r="M707" s="2393"/>
      <c r="N707" s="2393"/>
      <c r="O707" s="2393"/>
      <c r="P707" s="2393"/>
      <c r="Q707" s="2393"/>
      <c r="R707" s="2393"/>
      <c r="S707" s="2393"/>
      <c r="T707" s="2393"/>
      <c r="U707" s="2393"/>
      <c r="V707" s="2393"/>
      <c r="W707" s="2393"/>
      <c r="X707" s="2393"/>
      <c r="Y707" s="2393"/>
      <c r="Z707" s="2393"/>
      <c r="AA707" s="2393"/>
      <c r="AB707" s="2393"/>
      <c r="AC707" s="536"/>
      <c r="AD707" s="536"/>
      <c r="AE707" s="536"/>
      <c r="AF707" s="2394" t="s">
        <v>1344</v>
      </c>
      <c r="AG707" s="2394"/>
      <c r="AH707" s="2394"/>
      <c r="AI707" s="2394"/>
      <c r="AJ707" s="2394"/>
      <c r="AK707" s="2394"/>
      <c r="AL707" s="2394"/>
      <c r="AN707" s="595"/>
      <c r="AW707" s="22" t="s">
        <v>2139</v>
      </c>
      <c r="AX707" s="549">
        <f>AX704+AX705+AX706</f>
        <v>44</v>
      </c>
    </row>
    <row r="708" spans="1:51" s="549" customFormat="1" ht="12.75" customHeight="1">
      <c r="B708" s="536"/>
      <c r="C708" s="936"/>
      <c r="D708" s="659"/>
      <c r="E708" s="2393"/>
      <c r="F708" s="2393"/>
      <c r="G708" s="2393"/>
      <c r="H708" s="2393"/>
      <c r="I708" s="2393"/>
      <c r="J708" s="2393"/>
      <c r="K708" s="2393"/>
      <c r="L708" s="2393"/>
      <c r="M708" s="2393"/>
      <c r="N708" s="2393"/>
      <c r="O708" s="2393"/>
      <c r="P708" s="2393"/>
      <c r="Q708" s="2393"/>
      <c r="R708" s="2393"/>
      <c r="S708" s="2393"/>
      <c r="T708" s="2393"/>
      <c r="U708" s="2393"/>
      <c r="V708" s="2393"/>
      <c r="W708" s="2393"/>
      <c r="X708" s="2393"/>
      <c r="Y708" s="2393"/>
      <c r="Z708" s="2393"/>
      <c r="AA708" s="2393"/>
      <c r="AB708" s="2393"/>
      <c r="AC708" s="536"/>
      <c r="AD708" s="536"/>
      <c r="AE708" s="614"/>
      <c r="AF708" s="536"/>
      <c r="AG708" s="536"/>
      <c r="AH708" s="536"/>
      <c r="AI708" s="536"/>
      <c r="AJ708" s="536"/>
      <c r="AK708" s="536"/>
      <c r="AL708" s="536"/>
      <c r="AN708" s="595"/>
      <c r="AO708" s="2463" t="b">
        <f>IF(Application!D211="Special Needs",IF(AY708&gt;=0.25,TRUE,FALSE),IF(AX708&gt;=0.25,TRUE,FALSE))</f>
        <v>1</v>
      </c>
      <c r="AP708" s="2463"/>
      <c r="AW708" s="22" t="s">
        <v>2140</v>
      </c>
      <c r="AX708" s="549">
        <f>IFERROR(AX707/AX703,0)</f>
        <v>0.28758169934640521</v>
      </c>
      <c r="AY708" s="549">
        <f>IFERROR(AX707/(AX703-AX702),0)</f>
        <v>0.28758169934640521</v>
      </c>
    </row>
    <row r="709" spans="1:51" s="549" customFormat="1" ht="12.75" customHeight="1">
      <c r="B709" s="536"/>
      <c r="C709" s="936"/>
      <c r="E709" s="2393"/>
      <c r="F709" s="2393"/>
      <c r="G709" s="2393"/>
      <c r="H709" s="2393"/>
      <c r="I709" s="2393"/>
      <c r="J709" s="2393"/>
      <c r="K709" s="2393"/>
      <c r="L709" s="2393"/>
      <c r="M709" s="2393"/>
      <c r="N709" s="2393"/>
      <c r="O709" s="2393"/>
      <c r="P709" s="2393"/>
      <c r="Q709" s="2393"/>
      <c r="R709" s="2393"/>
      <c r="S709" s="2393"/>
      <c r="T709" s="2393"/>
      <c r="U709" s="2393"/>
      <c r="V709" s="2393"/>
      <c r="W709" s="2393"/>
      <c r="X709" s="2393"/>
      <c r="Y709" s="2393"/>
      <c r="Z709" s="2393"/>
      <c r="AA709" s="2393"/>
      <c r="AB709" s="2393"/>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3"/>
      <c r="F710" s="2393"/>
      <c r="G710" s="2393"/>
      <c r="H710" s="2393"/>
      <c r="I710" s="2393"/>
      <c r="J710" s="2393"/>
      <c r="K710" s="2393"/>
      <c r="L710" s="2393"/>
      <c r="M710" s="2393"/>
      <c r="N710" s="2393"/>
      <c r="O710" s="2393"/>
      <c r="P710" s="2393"/>
      <c r="Q710" s="2393"/>
      <c r="R710" s="2393"/>
      <c r="S710" s="2393"/>
      <c r="T710" s="2393"/>
      <c r="U710" s="2393"/>
      <c r="V710" s="2393"/>
      <c r="W710" s="2393"/>
      <c r="X710" s="2393"/>
      <c r="Y710" s="2393"/>
      <c r="Z710" s="2393"/>
      <c r="AA710" s="2393"/>
      <c r="AB710" s="2393"/>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93" t="s">
        <v>2087</v>
      </c>
      <c r="F712" s="2393"/>
      <c r="G712" s="2393"/>
      <c r="H712" s="2393"/>
      <c r="I712" s="2393"/>
      <c r="J712" s="2393"/>
      <c r="K712" s="2393"/>
      <c r="L712" s="2393"/>
      <c r="M712" s="2393"/>
      <c r="N712" s="2393"/>
      <c r="O712" s="2393"/>
      <c r="P712" s="2393"/>
      <c r="Q712" s="2393"/>
      <c r="R712" s="2393"/>
      <c r="S712" s="2393"/>
      <c r="T712" s="2393"/>
      <c r="U712" s="2393"/>
      <c r="V712" s="2393"/>
      <c r="W712" s="2393"/>
      <c r="X712" s="2393"/>
      <c r="Y712" s="2393"/>
      <c r="Z712" s="2393"/>
      <c r="AA712" s="2393"/>
      <c r="AB712" s="2393"/>
      <c r="AC712" s="536"/>
      <c r="AD712" s="536"/>
      <c r="AE712" s="536"/>
      <c r="AF712" s="2394" t="s">
        <v>1398</v>
      </c>
      <c r="AG712" s="2394"/>
      <c r="AH712" s="2394"/>
      <c r="AI712" s="2394"/>
      <c r="AJ712" s="2394"/>
      <c r="AK712" s="2394"/>
      <c r="AL712" s="2394"/>
      <c r="AN712" s="595"/>
      <c r="AO712" s="609" t="s">
        <v>508</v>
      </c>
      <c r="AP712" s="549">
        <v>1</v>
      </c>
    </row>
    <row r="713" spans="1:51" s="549" customFormat="1" ht="12" customHeight="1">
      <c r="B713" s="536"/>
      <c r="C713" s="927"/>
      <c r="E713" s="2393"/>
      <c r="F713" s="2393"/>
      <c r="G713" s="2393"/>
      <c r="H713" s="2393"/>
      <c r="I713" s="2393"/>
      <c r="J713" s="2393"/>
      <c r="K713" s="2393"/>
      <c r="L713" s="2393"/>
      <c r="M713" s="2393"/>
      <c r="N713" s="2393"/>
      <c r="O713" s="2393"/>
      <c r="P713" s="2393"/>
      <c r="Q713" s="2393"/>
      <c r="R713" s="2393"/>
      <c r="S713" s="2393"/>
      <c r="T713" s="2393"/>
      <c r="U713" s="2393"/>
      <c r="V713" s="2393"/>
      <c r="W713" s="2393"/>
      <c r="X713" s="2393"/>
      <c r="Y713" s="2393"/>
      <c r="Z713" s="2393"/>
      <c r="AA713" s="2393"/>
      <c r="AB713" s="2393"/>
      <c r="AC713" s="536"/>
      <c r="AD713" s="536"/>
      <c r="AE713" s="614"/>
      <c r="AF713" s="536"/>
      <c r="AG713" s="536"/>
      <c r="AH713" s="536"/>
      <c r="AI713" s="536"/>
      <c r="AJ713" s="536"/>
      <c r="AK713" s="536"/>
      <c r="AL713" s="536"/>
      <c r="AN713" s="595"/>
    </row>
    <row r="714" spans="1:51" s="549" customFormat="1" ht="12" customHeight="1">
      <c r="B714" s="536"/>
      <c r="C714" s="927"/>
      <c r="D714" s="536"/>
      <c r="E714" s="2393"/>
      <c r="F714" s="2393"/>
      <c r="G714" s="2393"/>
      <c r="H714" s="2393"/>
      <c r="I714" s="2393"/>
      <c r="J714" s="2393"/>
      <c r="K714" s="2393"/>
      <c r="L714" s="2393"/>
      <c r="M714" s="2393"/>
      <c r="N714" s="2393"/>
      <c r="O714" s="2393"/>
      <c r="P714" s="2393"/>
      <c r="Q714" s="2393"/>
      <c r="R714" s="2393"/>
      <c r="S714" s="2393"/>
      <c r="T714" s="2393"/>
      <c r="U714" s="2393"/>
      <c r="V714" s="2393"/>
      <c r="W714" s="2393"/>
      <c r="X714" s="2393"/>
      <c r="Y714" s="2393"/>
      <c r="Z714" s="2393"/>
      <c r="AA714" s="2393"/>
      <c r="AB714" s="2393"/>
      <c r="AC714" s="536"/>
      <c r="AD714" s="536"/>
      <c r="AE714" s="614"/>
      <c r="AF714" s="536"/>
      <c r="AG714" s="536"/>
      <c r="AH714" s="536"/>
      <c r="AI714" s="536"/>
      <c r="AJ714" s="536"/>
      <c r="AK714" s="536"/>
      <c r="AL714" s="536"/>
      <c r="AN714" s="595"/>
    </row>
    <row r="715" spans="1:51" s="549" customFormat="1" ht="12" customHeight="1">
      <c r="B715" s="536"/>
      <c r="C715" s="927"/>
      <c r="D715" s="536"/>
      <c r="E715" s="2393"/>
      <c r="F715" s="2393"/>
      <c r="G715" s="2393"/>
      <c r="H715" s="2393"/>
      <c r="I715" s="2393"/>
      <c r="J715" s="2393"/>
      <c r="K715" s="2393"/>
      <c r="L715" s="2393"/>
      <c r="M715" s="2393"/>
      <c r="N715" s="2393"/>
      <c r="O715" s="2393"/>
      <c r="P715" s="2393"/>
      <c r="Q715" s="2393"/>
      <c r="R715" s="2393"/>
      <c r="S715" s="2393"/>
      <c r="T715" s="2393"/>
      <c r="U715" s="2393"/>
      <c r="V715" s="2393"/>
      <c r="W715" s="2393"/>
      <c r="X715" s="2393"/>
      <c r="Y715" s="2393"/>
      <c r="Z715" s="2393"/>
      <c r="AA715" s="2393"/>
      <c r="AB715" s="2393"/>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3"/>
      <c r="F716" s="2393"/>
      <c r="G716" s="2393"/>
      <c r="H716" s="2393"/>
      <c r="I716" s="2393"/>
      <c r="J716" s="2393"/>
      <c r="K716" s="2393"/>
      <c r="L716" s="2393"/>
      <c r="M716" s="2393"/>
      <c r="N716" s="2393"/>
      <c r="O716" s="2393"/>
      <c r="P716" s="2393"/>
      <c r="Q716" s="2393"/>
      <c r="R716" s="2393"/>
      <c r="S716" s="2393"/>
      <c r="T716" s="2393"/>
      <c r="U716" s="2393"/>
      <c r="V716" s="2393"/>
      <c r="W716" s="2393"/>
      <c r="X716" s="2393"/>
      <c r="Y716" s="2393"/>
      <c r="Z716" s="2393"/>
      <c r="AA716" s="2393"/>
      <c r="AB716" s="2393"/>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3" t="s">
        <v>1680</v>
      </c>
      <c r="F718" s="2393"/>
      <c r="G718" s="2393"/>
      <c r="H718" s="2393"/>
      <c r="I718" s="2393"/>
      <c r="J718" s="2393"/>
      <c r="K718" s="2393"/>
      <c r="L718" s="2393"/>
      <c r="M718" s="2393"/>
      <c r="N718" s="2393"/>
      <c r="O718" s="2393"/>
      <c r="P718" s="2393"/>
      <c r="Q718" s="2393"/>
      <c r="R718" s="2393"/>
      <c r="S718" s="2393"/>
      <c r="T718" s="2393"/>
      <c r="U718" s="2393"/>
      <c r="V718" s="2393"/>
      <c r="W718" s="2393"/>
      <c r="X718" s="2393"/>
      <c r="Y718" s="2393"/>
      <c r="Z718" s="2393"/>
      <c r="AA718" s="2393"/>
      <c r="AB718" s="2393"/>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3"/>
      <c r="F719" s="2393"/>
      <c r="G719" s="2393"/>
      <c r="H719" s="2393"/>
      <c r="I719" s="2393"/>
      <c r="J719" s="2393"/>
      <c r="K719" s="2393"/>
      <c r="L719" s="2393"/>
      <c r="M719" s="2393"/>
      <c r="N719" s="2393"/>
      <c r="O719" s="2393"/>
      <c r="P719" s="2393"/>
      <c r="Q719" s="2393"/>
      <c r="R719" s="2393"/>
      <c r="S719" s="2393"/>
      <c r="T719" s="2393"/>
      <c r="U719" s="2393"/>
      <c r="V719" s="2393"/>
      <c r="W719" s="2393"/>
      <c r="X719" s="2393"/>
      <c r="Y719" s="2393"/>
      <c r="Z719" s="2393"/>
      <c r="AA719" s="2393"/>
      <c r="AB719" s="2393"/>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3"/>
      <c r="F720" s="2393"/>
      <c r="G720" s="2393"/>
      <c r="H720" s="2393"/>
      <c r="I720" s="2393"/>
      <c r="J720" s="2393"/>
      <c r="K720" s="2393"/>
      <c r="L720" s="2393"/>
      <c r="M720" s="2393"/>
      <c r="N720" s="2393"/>
      <c r="O720" s="2393"/>
      <c r="P720" s="2393"/>
      <c r="Q720" s="2393"/>
      <c r="R720" s="2393"/>
      <c r="S720" s="2393"/>
      <c r="T720" s="2393"/>
      <c r="U720" s="2393"/>
      <c r="V720" s="2393"/>
      <c r="W720" s="2393"/>
      <c r="X720" s="2393"/>
      <c r="Y720" s="2393"/>
      <c r="Z720" s="2393"/>
      <c r="AA720" s="2393"/>
      <c r="AB720" s="239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5" t="s">
        <v>686</v>
      </c>
      <c r="I722" s="239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96">
        <f>VLOOKUP($H$722,$AO$716:$AP$719,2,FALSE)</f>
        <v>3</v>
      </c>
      <c r="AK724" s="2397"/>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5" t="s">
        <v>1682</v>
      </c>
      <c r="F728" s="2535"/>
      <c r="G728" s="2535"/>
      <c r="H728" s="2535"/>
      <c r="I728" s="2535"/>
      <c r="J728" s="2535"/>
      <c r="K728" s="2535"/>
      <c r="L728" s="2535"/>
      <c r="M728" s="2535"/>
      <c r="N728" s="2535"/>
      <c r="O728" s="2535"/>
      <c r="P728" s="2535"/>
      <c r="Q728" s="2535"/>
      <c r="R728" s="2535"/>
      <c r="S728" s="2535"/>
      <c r="T728" s="2535"/>
      <c r="U728" s="2535"/>
      <c r="V728" s="2535"/>
      <c r="W728" s="2535"/>
      <c r="X728" s="2535"/>
      <c r="Y728" s="2535"/>
      <c r="Z728" s="2535"/>
      <c r="AA728" s="2535"/>
      <c r="AB728" s="2535"/>
      <c r="AC728" s="536"/>
      <c r="AD728" s="536"/>
      <c r="AE728" s="536"/>
      <c r="AF728" s="2394" t="s">
        <v>1344</v>
      </c>
      <c r="AG728" s="2394"/>
      <c r="AH728" s="2394"/>
      <c r="AI728" s="2394"/>
      <c r="AJ728" s="2394"/>
      <c r="AK728" s="2394"/>
      <c r="AL728" s="2394"/>
      <c r="AM728" s="549"/>
      <c r="AN728" s="680"/>
      <c r="AP728" s="568" t="s">
        <v>1422</v>
      </c>
    </row>
    <row r="729" spans="1:43" s="568" customFormat="1" ht="11.85" customHeight="1">
      <c r="A729" s="549"/>
      <c r="B729" s="536"/>
      <c r="C729" s="929"/>
      <c r="D729" s="659"/>
      <c r="E729" s="2535"/>
      <c r="F729" s="2535"/>
      <c r="G729" s="2535"/>
      <c r="H729" s="2535"/>
      <c r="I729" s="2535"/>
      <c r="J729" s="2535"/>
      <c r="K729" s="2535"/>
      <c r="L729" s="2535"/>
      <c r="M729" s="2535"/>
      <c r="N729" s="2535"/>
      <c r="O729" s="2535"/>
      <c r="P729" s="2535"/>
      <c r="Q729" s="2535"/>
      <c r="R729" s="2535"/>
      <c r="S729" s="2535"/>
      <c r="T729" s="2535"/>
      <c r="U729" s="2535"/>
      <c r="V729" s="2535"/>
      <c r="W729" s="2535"/>
      <c r="X729" s="2535"/>
      <c r="Y729" s="2535"/>
      <c r="Z729" s="2535"/>
      <c r="AA729" s="2535"/>
      <c r="AB729" s="2535"/>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5"/>
      <c r="F730" s="2535"/>
      <c r="G730" s="2535"/>
      <c r="H730" s="2535"/>
      <c r="I730" s="2535"/>
      <c r="J730" s="2535"/>
      <c r="K730" s="2535"/>
      <c r="L730" s="2535"/>
      <c r="M730" s="2535"/>
      <c r="N730" s="2535"/>
      <c r="O730" s="2535"/>
      <c r="P730" s="2535"/>
      <c r="Q730" s="2535"/>
      <c r="R730" s="2535"/>
      <c r="S730" s="2535"/>
      <c r="T730" s="2535"/>
      <c r="U730" s="2535"/>
      <c r="V730" s="2535"/>
      <c r="W730" s="2535"/>
      <c r="X730" s="2535"/>
      <c r="Y730" s="2535"/>
      <c r="Z730" s="2535"/>
      <c r="AA730" s="2535"/>
      <c r="AB730" s="2535"/>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6" t="s">
        <v>1425</v>
      </c>
      <c r="F732" s="2536"/>
      <c r="G732" s="2536"/>
      <c r="H732" s="2536"/>
      <c r="I732" s="2536"/>
      <c r="J732" s="2536"/>
      <c r="K732" s="2536"/>
      <c r="L732" s="2536"/>
      <c r="M732" s="2536"/>
      <c r="N732" s="2536"/>
      <c r="O732" s="2536"/>
      <c r="P732" s="2536"/>
      <c r="Q732" s="2536"/>
      <c r="R732" s="2536"/>
      <c r="S732" s="2536"/>
      <c r="T732" s="2536"/>
      <c r="U732" s="2536"/>
      <c r="V732" s="2536"/>
      <c r="W732" s="2536"/>
      <c r="X732" s="2536"/>
      <c r="Y732" s="2536"/>
      <c r="Z732" s="2536"/>
      <c r="AA732" s="2536"/>
      <c r="AB732" s="2536"/>
      <c r="AC732" s="536"/>
      <c r="AD732" s="536"/>
      <c r="AE732" s="536"/>
      <c r="AF732" s="2394" t="s">
        <v>1398</v>
      </c>
      <c r="AG732" s="2394"/>
      <c r="AH732" s="2394"/>
      <c r="AI732" s="2394"/>
      <c r="AJ732" s="2394"/>
      <c r="AK732" s="2394"/>
      <c r="AL732" s="2394"/>
      <c r="AM732" s="549"/>
      <c r="AN732" s="681"/>
    </row>
    <row r="733" spans="1:43" s="568" customFormat="1" ht="12.75" customHeight="1">
      <c r="A733" s="549"/>
      <c r="B733" s="536"/>
      <c r="C733" s="929"/>
      <c r="D733" s="536"/>
      <c r="E733" s="2536"/>
      <c r="F733" s="2536"/>
      <c r="G733" s="2536"/>
      <c r="H733" s="2536"/>
      <c r="I733" s="2536"/>
      <c r="J733" s="2536"/>
      <c r="K733" s="2536"/>
      <c r="L733" s="2536"/>
      <c r="M733" s="2536"/>
      <c r="N733" s="2536"/>
      <c r="O733" s="2536"/>
      <c r="P733" s="2536"/>
      <c r="Q733" s="2536"/>
      <c r="R733" s="2536"/>
      <c r="S733" s="2536"/>
      <c r="T733" s="2536"/>
      <c r="U733" s="2536"/>
      <c r="V733" s="2536"/>
      <c r="W733" s="2536"/>
      <c r="X733" s="2536"/>
      <c r="Y733" s="2536"/>
      <c r="Z733" s="2536"/>
      <c r="AA733" s="2536"/>
      <c r="AB733" s="2536"/>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6"/>
      <c r="F734" s="2536"/>
      <c r="G734" s="2536"/>
      <c r="H734" s="2536"/>
      <c r="I734" s="2536"/>
      <c r="J734" s="2536"/>
      <c r="K734" s="2536"/>
      <c r="L734" s="2536"/>
      <c r="M734" s="2536"/>
      <c r="N734" s="2536"/>
      <c r="O734" s="2536"/>
      <c r="P734" s="2536"/>
      <c r="Q734" s="2536"/>
      <c r="R734" s="2536"/>
      <c r="S734" s="2536"/>
      <c r="T734" s="2536"/>
      <c r="U734" s="2536"/>
      <c r="V734" s="2536"/>
      <c r="W734" s="2536"/>
      <c r="X734" s="2536"/>
      <c r="Y734" s="2536"/>
      <c r="Z734" s="2536"/>
      <c r="AA734" s="2536"/>
      <c r="AB734" s="2536"/>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95" t="s">
        <v>590</v>
      </c>
      <c r="I736" s="239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6">
        <f>VLOOKUP($H$736,$AP$733:$AQ$735,2,FALSE)</f>
        <v>0</v>
      </c>
      <c r="AK738" s="2397"/>
      <c r="AL738" s="593"/>
      <c r="AM738" s="549"/>
      <c r="AN738" s="680"/>
      <c r="AP738" s="2396"/>
      <c r="AQ738" s="239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3" t="s">
        <v>1683</v>
      </c>
      <c r="F742" s="2393"/>
      <c r="G742" s="2393"/>
      <c r="H742" s="2393"/>
      <c r="I742" s="2393"/>
      <c r="J742" s="2393"/>
      <c r="K742" s="2393"/>
      <c r="L742" s="2393"/>
      <c r="M742" s="2393"/>
      <c r="N742" s="2393"/>
      <c r="O742" s="2393"/>
      <c r="P742" s="2393"/>
      <c r="Q742" s="2393"/>
      <c r="R742" s="2393"/>
      <c r="S742" s="2393"/>
      <c r="T742" s="2393"/>
      <c r="U742" s="2393"/>
      <c r="V742" s="2393"/>
      <c r="W742" s="2393"/>
      <c r="X742" s="2393"/>
      <c r="Y742" s="2393"/>
      <c r="Z742" s="2393"/>
      <c r="AA742" s="2393"/>
      <c r="AB742" s="2393"/>
      <c r="AC742" s="536"/>
      <c r="AD742" s="536"/>
      <c r="AE742" s="536"/>
      <c r="AF742" s="2394" t="s">
        <v>1344</v>
      </c>
      <c r="AG742" s="2394"/>
      <c r="AH742" s="2394"/>
      <c r="AI742" s="2394"/>
      <c r="AJ742" s="2394"/>
      <c r="AK742" s="2394"/>
      <c r="AL742" s="2394"/>
      <c r="AM742" s="549"/>
      <c r="AN742" s="680"/>
      <c r="AT742" s="14"/>
      <c r="AU742" s="14"/>
      <c r="AV742" s="14"/>
      <c r="AW742" s="14"/>
      <c r="AX742" s="14"/>
      <c r="AY742" s="14"/>
      <c r="AZ742" s="14"/>
    </row>
    <row r="743" spans="1:81" s="568" customFormat="1">
      <c r="A743" s="549"/>
      <c r="B743" s="536"/>
      <c r="C743" s="929"/>
      <c r="D743" s="659"/>
      <c r="E743" s="2393"/>
      <c r="F743" s="2393"/>
      <c r="G743" s="2393"/>
      <c r="H743" s="2393"/>
      <c r="I743" s="2393"/>
      <c r="J743" s="2393"/>
      <c r="K743" s="2393"/>
      <c r="L743" s="2393"/>
      <c r="M743" s="2393"/>
      <c r="N743" s="2393"/>
      <c r="O743" s="2393"/>
      <c r="P743" s="2393"/>
      <c r="Q743" s="2393"/>
      <c r="R743" s="2393"/>
      <c r="S743" s="2393"/>
      <c r="T743" s="2393"/>
      <c r="U743" s="2393"/>
      <c r="V743" s="2393"/>
      <c r="W743" s="2393"/>
      <c r="X743" s="2393"/>
      <c r="Y743" s="2393"/>
      <c r="Z743" s="2393"/>
      <c r="AA743" s="2393"/>
      <c r="AB743" s="239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3" t="s">
        <v>1429</v>
      </c>
      <c r="F745" s="2393"/>
      <c r="G745" s="2393"/>
      <c r="H745" s="2393"/>
      <c r="I745" s="2393"/>
      <c r="J745" s="2393"/>
      <c r="K745" s="2393"/>
      <c r="L745" s="2393"/>
      <c r="M745" s="2393"/>
      <c r="N745" s="2393"/>
      <c r="O745" s="2393"/>
      <c r="P745" s="2393"/>
      <c r="Q745" s="2393"/>
      <c r="R745" s="2393"/>
      <c r="S745" s="2393"/>
      <c r="T745" s="2393"/>
      <c r="U745" s="2393"/>
      <c r="V745" s="2393"/>
      <c r="W745" s="2393"/>
      <c r="X745" s="2393"/>
      <c r="Y745" s="2393"/>
      <c r="Z745" s="2393"/>
      <c r="AA745" s="2393"/>
      <c r="AB745" s="2393"/>
      <c r="AC745" s="536"/>
      <c r="AD745" s="536"/>
      <c r="AE745" s="536"/>
      <c r="AF745" s="2394" t="s">
        <v>1398</v>
      </c>
      <c r="AG745" s="2394"/>
      <c r="AH745" s="2394"/>
      <c r="AI745" s="2394"/>
      <c r="AJ745" s="2394"/>
      <c r="AK745" s="2394"/>
      <c r="AL745" s="2394"/>
      <c r="AM745" s="549"/>
      <c r="AN745" s="680"/>
      <c r="AT745" s="14"/>
      <c r="AU745" s="14"/>
      <c r="AV745" s="14"/>
      <c r="AW745" s="14"/>
      <c r="AX745" s="14"/>
      <c r="AY745" s="14"/>
      <c r="AZ745" s="14"/>
    </row>
    <row r="746" spans="1:81" s="568" customFormat="1">
      <c r="A746" s="549"/>
      <c r="B746" s="536"/>
      <c r="C746" s="929"/>
      <c r="D746" s="536"/>
      <c r="E746" s="2393"/>
      <c r="F746" s="2393"/>
      <c r="G746" s="2393"/>
      <c r="H746" s="2393"/>
      <c r="I746" s="2393"/>
      <c r="J746" s="2393"/>
      <c r="K746" s="2393"/>
      <c r="L746" s="2393"/>
      <c r="M746" s="2393"/>
      <c r="N746" s="2393"/>
      <c r="O746" s="2393"/>
      <c r="P746" s="2393"/>
      <c r="Q746" s="2393"/>
      <c r="R746" s="2393"/>
      <c r="S746" s="2393"/>
      <c r="T746" s="2393"/>
      <c r="U746" s="2393"/>
      <c r="V746" s="2393"/>
      <c r="W746" s="2393"/>
      <c r="X746" s="2393"/>
      <c r="Y746" s="2393"/>
      <c r="Z746" s="2393"/>
      <c r="AA746" s="2393"/>
      <c r="AB746" s="239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5" t="s">
        <v>590</v>
      </c>
      <c r="I748" s="239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6">
        <f>VLOOKUP($H$748,$AO$679:$AP$681,2,FALSE)</f>
        <v>0</v>
      </c>
      <c r="AK750" s="239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3" t="s">
        <v>1432</v>
      </c>
      <c r="F754" s="2393"/>
      <c r="G754" s="2393"/>
      <c r="H754" s="2393"/>
      <c r="I754" s="2393"/>
      <c r="J754" s="2393"/>
      <c r="K754" s="2393"/>
      <c r="L754" s="2393"/>
      <c r="M754" s="2393"/>
      <c r="N754" s="2393"/>
      <c r="O754" s="2393"/>
      <c r="P754" s="2393"/>
      <c r="Q754" s="2393"/>
      <c r="R754" s="2393"/>
      <c r="S754" s="2393"/>
      <c r="T754" s="2393"/>
      <c r="U754" s="2393"/>
      <c r="V754" s="2393"/>
      <c r="W754" s="2393"/>
      <c r="X754" s="2393"/>
      <c r="Y754" s="2393"/>
      <c r="Z754" s="2393"/>
      <c r="AA754" s="2393"/>
      <c r="AB754" s="2393"/>
      <c r="AC754" s="536"/>
      <c r="AD754" s="536"/>
      <c r="AE754" s="536"/>
      <c r="AF754" s="2394" t="s">
        <v>1344</v>
      </c>
      <c r="AG754" s="2394"/>
      <c r="AH754" s="2394"/>
      <c r="AI754" s="2394"/>
      <c r="AJ754" s="2394"/>
      <c r="AK754" s="2394"/>
      <c r="AL754" s="2394"/>
      <c r="AM754" s="549"/>
      <c r="AN754" s="680"/>
      <c r="AT754" s="14"/>
      <c r="AU754" s="14"/>
      <c r="AV754" s="14"/>
      <c r="AW754" s="14"/>
      <c r="AX754" s="14"/>
      <c r="AY754" s="14"/>
      <c r="AZ754" s="14"/>
    </row>
    <row r="755" spans="1:81" s="568" customFormat="1">
      <c r="A755" s="549"/>
      <c r="B755" s="536"/>
      <c r="C755" s="927"/>
      <c r="D755" s="659"/>
      <c r="E755" s="2393"/>
      <c r="F755" s="2393"/>
      <c r="G755" s="2393"/>
      <c r="H755" s="2393"/>
      <c r="I755" s="2393"/>
      <c r="J755" s="2393"/>
      <c r="K755" s="2393"/>
      <c r="L755" s="2393"/>
      <c r="M755" s="2393"/>
      <c r="N755" s="2393"/>
      <c r="O755" s="2393"/>
      <c r="P755" s="2393"/>
      <c r="Q755" s="2393"/>
      <c r="R755" s="2393"/>
      <c r="S755" s="2393"/>
      <c r="T755" s="2393"/>
      <c r="U755" s="2393"/>
      <c r="V755" s="2393"/>
      <c r="W755" s="2393"/>
      <c r="X755" s="2393"/>
      <c r="Y755" s="2393"/>
      <c r="Z755" s="2393"/>
      <c r="AA755" s="2393"/>
      <c r="AB755" s="239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3"/>
      <c r="F756" s="2393"/>
      <c r="G756" s="2393"/>
      <c r="H756" s="2393"/>
      <c r="I756" s="2393"/>
      <c r="J756" s="2393"/>
      <c r="K756" s="2393"/>
      <c r="L756" s="2393"/>
      <c r="M756" s="2393"/>
      <c r="N756" s="2393"/>
      <c r="O756" s="2393"/>
      <c r="P756" s="2393"/>
      <c r="Q756" s="2393"/>
      <c r="R756" s="2393"/>
      <c r="S756" s="2393"/>
      <c r="T756" s="2393"/>
      <c r="U756" s="2393"/>
      <c r="V756" s="2393"/>
      <c r="W756" s="2393"/>
      <c r="X756" s="2393"/>
      <c r="Y756" s="2393"/>
      <c r="Z756" s="2393"/>
      <c r="AA756" s="2393"/>
      <c r="AB756" s="239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3"/>
      <c r="F757" s="2393"/>
      <c r="G757" s="2393"/>
      <c r="H757" s="2393"/>
      <c r="I757" s="2393"/>
      <c r="J757" s="2393"/>
      <c r="K757" s="2393"/>
      <c r="L757" s="2393"/>
      <c r="M757" s="2393"/>
      <c r="N757" s="2393"/>
      <c r="O757" s="2393"/>
      <c r="P757" s="2393"/>
      <c r="Q757" s="2393"/>
      <c r="R757" s="2393"/>
      <c r="S757" s="2393"/>
      <c r="T757" s="2393"/>
      <c r="U757" s="2393"/>
      <c r="V757" s="2393"/>
      <c r="W757" s="2393"/>
      <c r="X757" s="2393"/>
      <c r="Y757" s="2393"/>
      <c r="Z757" s="2393"/>
      <c r="AA757" s="2393"/>
      <c r="AB757" s="239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3" t="s">
        <v>1433</v>
      </c>
      <c r="F759" s="2393"/>
      <c r="G759" s="2393"/>
      <c r="H759" s="2393"/>
      <c r="I759" s="2393"/>
      <c r="J759" s="2393"/>
      <c r="K759" s="2393"/>
      <c r="L759" s="2393"/>
      <c r="M759" s="2393"/>
      <c r="N759" s="2393"/>
      <c r="O759" s="2393"/>
      <c r="P759" s="2393"/>
      <c r="Q759" s="2393"/>
      <c r="R759" s="2393"/>
      <c r="S759" s="2393"/>
      <c r="T759" s="2393"/>
      <c r="U759" s="2393"/>
      <c r="V759" s="2393"/>
      <c r="W759" s="2393"/>
      <c r="X759" s="2393"/>
      <c r="Y759" s="2393"/>
      <c r="Z759" s="2393"/>
      <c r="AA759" s="2393"/>
      <c r="AB759" s="573"/>
      <c r="AC759" s="536"/>
      <c r="AD759" s="536"/>
      <c r="AE759" s="536"/>
      <c r="AF759" s="2394" t="s">
        <v>1398</v>
      </c>
      <c r="AG759" s="2394"/>
      <c r="AH759" s="2394"/>
      <c r="AI759" s="2394"/>
      <c r="AJ759" s="2394"/>
      <c r="AK759" s="2394"/>
      <c r="AL759" s="2394"/>
      <c r="AM759" s="549"/>
      <c r="AN759" s="680"/>
      <c r="AO759" s="30"/>
      <c r="AP759" s="14"/>
    </row>
    <row r="760" spans="1:81" s="568" customFormat="1">
      <c r="A760" s="549"/>
      <c r="B760" s="536"/>
      <c r="C760" s="927"/>
      <c r="D760" s="659"/>
      <c r="E760" s="2393"/>
      <c r="F760" s="2393"/>
      <c r="G760" s="2393"/>
      <c r="H760" s="2393"/>
      <c r="I760" s="2393"/>
      <c r="J760" s="2393"/>
      <c r="K760" s="2393"/>
      <c r="L760" s="2393"/>
      <c r="M760" s="2393"/>
      <c r="N760" s="2393"/>
      <c r="O760" s="2393"/>
      <c r="P760" s="2393"/>
      <c r="Q760" s="2393"/>
      <c r="R760" s="2393"/>
      <c r="S760" s="2393"/>
      <c r="T760" s="2393"/>
      <c r="U760" s="2393"/>
      <c r="V760" s="2393"/>
      <c r="W760" s="2393"/>
      <c r="X760" s="2393"/>
      <c r="Y760" s="2393"/>
      <c r="Z760" s="2393"/>
      <c r="AA760" s="2393"/>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3"/>
      <c r="F761" s="2393"/>
      <c r="G761" s="2393"/>
      <c r="H761" s="2393"/>
      <c r="I761" s="2393"/>
      <c r="J761" s="2393"/>
      <c r="K761" s="2393"/>
      <c r="L761" s="2393"/>
      <c r="M761" s="2393"/>
      <c r="N761" s="2393"/>
      <c r="O761" s="2393"/>
      <c r="P761" s="2393"/>
      <c r="Q761" s="2393"/>
      <c r="R761" s="2393"/>
      <c r="S761" s="2393"/>
      <c r="T761" s="2393"/>
      <c r="U761" s="2393"/>
      <c r="V761" s="2393"/>
      <c r="W761" s="2393"/>
      <c r="X761" s="2393"/>
      <c r="Y761" s="2393"/>
      <c r="Z761" s="2393"/>
      <c r="AA761" s="2393"/>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3"/>
      <c r="F762" s="2393"/>
      <c r="G762" s="2393"/>
      <c r="H762" s="2393"/>
      <c r="I762" s="2393"/>
      <c r="J762" s="2393"/>
      <c r="K762" s="2393"/>
      <c r="L762" s="2393"/>
      <c r="M762" s="2393"/>
      <c r="N762" s="2393"/>
      <c r="O762" s="2393"/>
      <c r="P762" s="2393"/>
      <c r="Q762" s="2393"/>
      <c r="R762" s="2393"/>
      <c r="S762" s="2393"/>
      <c r="T762" s="2393"/>
      <c r="U762" s="2393"/>
      <c r="V762" s="2393"/>
      <c r="W762" s="2393"/>
      <c r="X762" s="2393"/>
      <c r="Y762" s="2393"/>
      <c r="Z762" s="2393"/>
      <c r="AA762" s="2393"/>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5" t="s">
        <v>686</v>
      </c>
      <c r="I764" s="239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6">
        <f>VLOOKUP($H$764,$AO$693:$AP$695,2,FALSE)</f>
        <v>3</v>
      </c>
      <c r="AK766" s="239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3" t="s">
        <v>1435</v>
      </c>
      <c r="F770" s="2393"/>
      <c r="G770" s="2393"/>
      <c r="H770" s="2393"/>
      <c r="I770" s="2393"/>
      <c r="J770" s="2393"/>
      <c r="K770" s="2393"/>
      <c r="L770" s="2393"/>
      <c r="M770" s="2393"/>
      <c r="N770" s="2393"/>
      <c r="O770" s="2393"/>
      <c r="P770" s="2393"/>
      <c r="Q770" s="2393"/>
      <c r="R770" s="2393"/>
      <c r="S770" s="2393"/>
      <c r="T770" s="2393"/>
      <c r="U770" s="2393"/>
      <c r="V770" s="2393"/>
      <c r="W770" s="2393"/>
      <c r="X770" s="2393"/>
      <c r="Y770" s="2393"/>
      <c r="Z770" s="2393"/>
      <c r="AA770" s="2393"/>
      <c r="AB770" s="2393"/>
      <c r="AC770" s="536"/>
      <c r="AD770" s="536"/>
      <c r="AE770" s="536"/>
      <c r="AF770" s="2394" t="s">
        <v>1398</v>
      </c>
      <c r="AG770" s="2394"/>
      <c r="AH770" s="2394"/>
      <c r="AI770" s="2394"/>
      <c r="AJ770" s="2394"/>
      <c r="AK770" s="2394"/>
      <c r="AL770" s="2394"/>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3"/>
      <c r="F771" s="2393"/>
      <c r="G771" s="2393"/>
      <c r="H771" s="2393"/>
      <c r="I771" s="2393"/>
      <c r="J771" s="2393"/>
      <c r="K771" s="2393"/>
      <c r="L771" s="2393"/>
      <c r="M771" s="2393"/>
      <c r="N771" s="2393"/>
      <c r="O771" s="2393"/>
      <c r="P771" s="2393"/>
      <c r="Q771" s="2393"/>
      <c r="R771" s="2393"/>
      <c r="S771" s="2393"/>
      <c r="T771" s="2393"/>
      <c r="U771" s="2393"/>
      <c r="V771" s="2393"/>
      <c r="W771" s="2393"/>
      <c r="X771" s="2393"/>
      <c r="Y771" s="2393"/>
      <c r="Z771" s="2393"/>
      <c r="AA771" s="2393"/>
      <c r="AB771" s="239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3" t="s">
        <v>1436</v>
      </c>
      <c r="F773" s="2393"/>
      <c r="G773" s="2393"/>
      <c r="H773" s="2393"/>
      <c r="I773" s="2393"/>
      <c r="J773" s="2393"/>
      <c r="K773" s="2393"/>
      <c r="L773" s="2393"/>
      <c r="M773" s="2393"/>
      <c r="N773" s="2393"/>
      <c r="O773" s="2393"/>
      <c r="P773" s="2393"/>
      <c r="Q773" s="2393"/>
      <c r="R773" s="2393"/>
      <c r="S773" s="2393"/>
      <c r="T773" s="2393"/>
      <c r="U773" s="2393"/>
      <c r="V773" s="2393"/>
      <c r="W773" s="2393"/>
      <c r="X773" s="2393"/>
      <c r="Y773" s="2393"/>
      <c r="Z773" s="2393"/>
      <c r="AA773" s="2393"/>
      <c r="AB773" s="2393"/>
      <c r="AC773" s="536"/>
      <c r="AD773" s="536"/>
      <c r="AE773" s="536"/>
      <c r="AF773" s="2394" t="s">
        <v>1415</v>
      </c>
      <c r="AG773" s="2394"/>
      <c r="AH773" s="2394"/>
      <c r="AI773" s="2394"/>
      <c r="AJ773" s="2394"/>
      <c r="AK773" s="2394"/>
      <c r="AL773" s="2394"/>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3"/>
      <c r="F774" s="2393"/>
      <c r="G774" s="2393"/>
      <c r="H774" s="2393"/>
      <c r="I774" s="2393"/>
      <c r="J774" s="2393"/>
      <c r="K774" s="2393"/>
      <c r="L774" s="2393"/>
      <c r="M774" s="2393"/>
      <c r="N774" s="2393"/>
      <c r="O774" s="2393"/>
      <c r="P774" s="2393"/>
      <c r="Q774" s="2393"/>
      <c r="R774" s="2393"/>
      <c r="S774" s="2393"/>
      <c r="T774" s="2393"/>
      <c r="U774" s="2393"/>
      <c r="V774" s="2393"/>
      <c r="W774" s="2393"/>
      <c r="X774" s="2393"/>
      <c r="Y774" s="2393"/>
      <c r="Z774" s="2393"/>
      <c r="AA774" s="2393"/>
      <c r="AB774" s="239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5" t="s">
        <v>686</v>
      </c>
      <c r="I776" s="239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6">
        <f>VLOOKUP($H$776,$AO$710:$AP$712,2,FALSE)</f>
        <v>2</v>
      </c>
      <c r="AK778" s="239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3" t="s">
        <v>1679</v>
      </c>
      <c r="F782" s="2393"/>
      <c r="G782" s="2393"/>
      <c r="H782" s="2393"/>
      <c r="I782" s="2393"/>
      <c r="J782" s="2393"/>
      <c r="K782" s="2393"/>
      <c r="L782" s="2393"/>
      <c r="M782" s="2393"/>
      <c r="N782" s="2393"/>
      <c r="O782" s="2393"/>
      <c r="P782" s="2393"/>
      <c r="Q782" s="2393"/>
      <c r="R782" s="2393"/>
      <c r="S782" s="2393"/>
      <c r="T782" s="2393"/>
      <c r="U782" s="2393"/>
      <c r="V782" s="2393"/>
      <c r="W782" s="2393"/>
      <c r="X782" s="2393"/>
      <c r="Y782" s="2393"/>
      <c r="Z782" s="2393"/>
      <c r="AA782" s="2393"/>
      <c r="AB782" s="2393"/>
      <c r="AC782" s="2393"/>
      <c r="AD782" s="2393"/>
      <c r="AE782" s="536"/>
      <c r="AF782" s="2394" t="s">
        <v>1398</v>
      </c>
      <c r="AG782" s="2394"/>
      <c r="AH782" s="2394"/>
      <c r="AI782" s="2394"/>
      <c r="AJ782" s="2394"/>
      <c r="AK782" s="2394"/>
      <c r="AL782" s="2394"/>
      <c r="AM782" s="611"/>
      <c r="AN782" s="680"/>
      <c r="AO782" s="549" t="s">
        <v>590</v>
      </c>
      <c r="AP782" s="669">
        <v>0</v>
      </c>
    </row>
    <row r="783" spans="1:74" s="568" customFormat="1" ht="13.7" customHeight="1">
      <c r="A783" s="549"/>
      <c r="B783" s="614"/>
      <c r="C783" s="936"/>
      <c r="D783" s="659"/>
      <c r="E783" s="2393"/>
      <c r="F783" s="2393"/>
      <c r="G783" s="2393"/>
      <c r="H783" s="2393"/>
      <c r="I783" s="2393"/>
      <c r="J783" s="2393"/>
      <c r="K783" s="2393"/>
      <c r="L783" s="2393"/>
      <c r="M783" s="2393"/>
      <c r="N783" s="2393"/>
      <c r="O783" s="2393"/>
      <c r="P783" s="2393"/>
      <c r="Q783" s="2393"/>
      <c r="R783" s="2393"/>
      <c r="S783" s="2393"/>
      <c r="T783" s="2393"/>
      <c r="U783" s="2393"/>
      <c r="V783" s="2393"/>
      <c r="W783" s="2393"/>
      <c r="X783" s="2393"/>
      <c r="Y783" s="2393"/>
      <c r="Z783" s="2393"/>
      <c r="AA783" s="2393"/>
      <c r="AB783" s="2393"/>
      <c r="AC783" s="2393"/>
      <c r="AD783" s="2393"/>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3"/>
      <c r="F784" s="2393"/>
      <c r="G784" s="2393"/>
      <c r="H784" s="2393"/>
      <c r="I784" s="2393"/>
      <c r="J784" s="2393"/>
      <c r="K784" s="2393"/>
      <c r="L784" s="2393"/>
      <c r="M784" s="2393"/>
      <c r="N784" s="2393"/>
      <c r="O784" s="2393"/>
      <c r="P784" s="2393"/>
      <c r="Q784" s="2393"/>
      <c r="R784" s="2393"/>
      <c r="S784" s="2393"/>
      <c r="T784" s="2393"/>
      <c r="U784" s="2393"/>
      <c r="V784" s="2393"/>
      <c r="W784" s="2393"/>
      <c r="X784" s="2393"/>
      <c r="Y784" s="2393"/>
      <c r="Z784" s="2393"/>
      <c r="AA784" s="2393"/>
      <c r="AB784" s="2393"/>
      <c r="AC784" s="2393"/>
      <c r="AD784" s="2393"/>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3"/>
      <c r="F785" s="2393"/>
      <c r="G785" s="2393"/>
      <c r="H785" s="2393"/>
      <c r="I785" s="2393"/>
      <c r="J785" s="2393"/>
      <c r="K785" s="2393"/>
      <c r="L785" s="2393"/>
      <c r="M785" s="2393"/>
      <c r="N785" s="2393"/>
      <c r="O785" s="2393"/>
      <c r="P785" s="2393"/>
      <c r="Q785" s="2393"/>
      <c r="R785" s="2393"/>
      <c r="S785" s="2393"/>
      <c r="T785" s="2393"/>
      <c r="U785" s="2393"/>
      <c r="V785" s="2393"/>
      <c r="W785" s="2393"/>
      <c r="X785" s="2393"/>
      <c r="Y785" s="2393"/>
      <c r="Z785" s="2393"/>
      <c r="AA785" s="2393"/>
      <c r="AB785" s="2393"/>
      <c r="AC785" s="2393"/>
      <c r="AD785" s="239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4" t="s">
        <v>1684</v>
      </c>
      <c r="F787" s="2534"/>
      <c r="G787" s="2534"/>
      <c r="H787" s="2534"/>
      <c r="I787" s="2534"/>
      <c r="J787" s="2534"/>
      <c r="K787" s="2534"/>
      <c r="L787" s="2534"/>
      <c r="M787" s="2534"/>
      <c r="N787" s="2534"/>
      <c r="O787" s="2534"/>
      <c r="P787" s="2534"/>
      <c r="Q787" s="2534"/>
      <c r="R787" s="2534"/>
      <c r="S787" s="2534"/>
      <c r="T787" s="2534"/>
      <c r="U787" s="2534"/>
      <c r="V787" s="2534"/>
      <c r="W787" s="2534"/>
      <c r="X787" s="2534"/>
      <c r="Y787" s="2534"/>
      <c r="Z787" s="2534"/>
      <c r="AA787" s="2534"/>
      <c r="AB787" s="2534"/>
      <c r="AC787" s="2534"/>
      <c r="AD787" s="2534"/>
      <c r="AE787" s="536"/>
      <c r="AF787" s="2394" t="s">
        <v>1344</v>
      </c>
      <c r="AG787" s="2394"/>
      <c r="AH787" s="2394"/>
      <c r="AI787" s="2394"/>
      <c r="AJ787" s="2394"/>
      <c r="AK787" s="2394"/>
      <c r="AL787" s="2394"/>
      <c r="AM787" s="611"/>
      <c r="AN787" s="595"/>
    </row>
    <row r="788" spans="1:81" s="549" customFormat="1" ht="12.75" customHeight="1">
      <c r="B788" s="614"/>
      <c r="C788" s="936"/>
      <c r="D788" s="659"/>
      <c r="E788" s="2534"/>
      <c r="F788" s="2534"/>
      <c r="G788" s="2534"/>
      <c r="H788" s="2534"/>
      <c r="I788" s="2534"/>
      <c r="J788" s="2534"/>
      <c r="K788" s="2534"/>
      <c r="L788" s="2534"/>
      <c r="M788" s="2534"/>
      <c r="N788" s="2534"/>
      <c r="O788" s="2534"/>
      <c r="P788" s="2534"/>
      <c r="Q788" s="2534"/>
      <c r="R788" s="2534"/>
      <c r="S788" s="2534"/>
      <c r="T788" s="2534"/>
      <c r="U788" s="2534"/>
      <c r="V788" s="2534"/>
      <c r="W788" s="2534"/>
      <c r="X788" s="2534"/>
      <c r="Y788" s="2534"/>
      <c r="Z788" s="2534"/>
      <c r="AA788" s="2534"/>
      <c r="AB788" s="2534"/>
      <c r="AC788" s="2534"/>
      <c r="AD788" s="2534"/>
      <c r="AE788" s="592"/>
      <c r="AF788" s="592"/>
      <c r="AG788" s="592"/>
      <c r="AH788" s="592"/>
      <c r="AI788" s="592"/>
      <c r="AJ788" s="592"/>
      <c r="AK788" s="592"/>
      <c r="AL788" s="592"/>
      <c r="AM788" s="611"/>
      <c r="AN788" s="595"/>
    </row>
    <row r="789" spans="1:81" s="549" customFormat="1" ht="12.75" customHeight="1">
      <c r="B789" s="614"/>
      <c r="C789" s="936"/>
      <c r="D789" s="659"/>
      <c r="E789" s="2534"/>
      <c r="F789" s="2534"/>
      <c r="G789" s="2534"/>
      <c r="H789" s="2534"/>
      <c r="I789" s="2534"/>
      <c r="J789" s="2534"/>
      <c r="K789" s="2534"/>
      <c r="L789" s="2534"/>
      <c r="M789" s="2534"/>
      <c r="N789" s="2534"/>
      <c r="O789" s="2534"/>
      <c r="P789" s="2534"/>
      <c r="Q789" s="2534"/>
      <c r="R789" s="2534"/>
      <c r="S789" s="2534"/>
      <c r="T789" s="2534"/>
      <c r="U789" s="2534"/>
      <c r="V789" s="2534"/>
      <c r="W789" s="2534"/>
      <c r="X789" s="2534"/>
      <c r="Y789" s="2534"/>
      <c r="Z789" s="2534"/>
      <c r="AA789" s="2534"/>
      <c r="AB789" s="2534"/>
      <c r="AC789" s="2534"/>
      <c r="AD789" s="2534"/>
      <c r="AE789" s="592"/>
      <c r="AF789" s="592"/>
      <c r="AG789" s="592"/>
      <c r="AH789" s="592"/>
      <c r="AI789" s="592"/>
      <c r="AJ789" s="592"/>
      <c r="AK789" s="592"/>
      <c r="AL789" s="592"/>
      <c r="AM789" s="611"/>
      <c r="AN789" s="595"/>
    </row>
    <row r="790" spans="1:81" s="549" customFormat="1" ht="12.75" customHeight="1">
      <c r="B790" s="614"/>
      <c r="C790" s="936"/>
      <c r="D790" s="659"/>
      <c r="E790" s="2534"/>
      <c r="F790" s="2534"/>
      <c r="G790" s="2534"/>
      <c r="H790" s="2534"/>
      <c r="I790" s="2534"/>
      <c r="J790" s="2534"/>
      <c r="K790" s="2534"/>
      <c r="L790" s="2534"/>
      <c r="M790" s="2534"/>
      <c r="N790" s="2534"/>
      <c r="O790" s="2534"/>
      <c r="P790" s="2534"/>
      <c r="Q790" s="2534"/>
      <c r="R790" s="2534"/>
      <c r="S790" s="2534"/>
      <c r="T790" s="2534"/>
      <c r="U790" s="2534"/>
      <c r="V790" s="2534"/>
      <c r="W790" s="2534"/>
      <c r="X790" s="2534"/>
      <c r="Y790" s="2534"/>
      <c r="Z790" s="2534"/>
      <c r="AA790" s="2534"/>
      <c r="AB790" s="2534"/>
      <c r="AC790" s="2534"/>
      <c r="AD790" s="2534"/>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5" t="s">
        <v>590</v>
      </c>
      <c r="I792" s="239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6">
        <f>VLOOKUP($H$792,$AO$782:$AP$784,2,FALSE)</f>
        <v>0</v>
      </c>
      <c r="AK794" s="239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3" t="s">
        <v>2631</v>
      </c>
      <c r="F798" s="2393"/>
      <c r="G798" s="2393"/>
      <c r="H798" s="2393"/>
      <c r="I798" s="2393"/>
      <c r="J798" s="2393"/>
      <c r="K798" s="2393"/>
      <c r="L798" s="2393"/>
      <c r="M798" s="2393"/>
      <c r="N798" s="2393"/>
      <c r="O798" s="2393"/>
      <c r="P798" s="2393"/>
      <c r="Q798" s="2393"/>
      <c r="R798" s="2393"/>
      <c r="S798" s="2393"/>
      <c r="T798" s="2393"/>
      <c r="U798" s="2393"/>
      <c r="V798" s="2393"/>
      <c r="W798" s="2393"/>
      <c r="X798" s="2393"/>
      <c r="Y798" s="2393"/>
      <c r="Z798" s="2393"/>
      <c r="AA798" s="2393"/>
      <c r="AB798" s="2393"/>
      <c r="AC798" s="2393"/>
      <c r="AD798" s="2393"/>
      <c r="AE798" s="536"/>
      <c r="AF798" s="2394" t="s">
        <v>1344</v>
      </c>
      <c r="AG798" s="2394"/>
      <c r="AH798" s="2394"/>
      <c r="AI798" s="2394"/>
      <c r="AJ798" s="2394"/>
      <c r="AK798" s="2394"/>
      <c r="AL798" s="2394"/>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3"/>
      <c r="F799" s="2393"/>
      <c r="G799" s="2393"/>
      <c r="H799" s="2393"/>
      <c r="I799" s="2393"/>
      <c r="J799" s="2393"/>
      <c r="K799" s="2393"/>
      <c r="L799" s="2393"/>
      <c r="M799" s="2393"/>
      <c r="N799" s="2393"/>
      <c r="O799" s="2393"/>
      <c r="P799" s="2393"/>
      <c r="Q799" s="2393"/>
      <c r="R799" s="2393"/>
      <c r="S799" s="2393"/>
      <c r="T799" s="2393"/>
      <c r="U799" s="2393"/>
      <c r="V799" s="2393"/>
      <c r="W799" s="2393"/>
      <c r="X799" s="2393"/>
      <c r="Y799" s="2393"/>
      <c r="Z799" s="2393"/>
      <c r="AA799" s="2393"/>
      <c r="AB799" s="2393"/>
      <c r="AC799" s="2393"/>
      <c r="AD799" s="239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3"/>
      <c r="F800" s="2393"/>
      <c r="G800" s="2393"/>
      <c r="H800" s="2393"/>
      <c r="I800" s="2393"/>
      <c r="J800" s="2393"/>
      <c r="K800" s="2393"/>
      <c r="L800" s="2393"/>
      <c r="M800" s="2393"/>
      <c r="N800" s="2393"/>
      <c r="O800" s="2393"/>
      <c r="P800" s="2393"/>
      <c r="Q800" s="2393"/>
      <c r="R800" s="2393"/>
      <c r="S800" s="2393"/>
      <c r="T800" s="2393"/>
      <c r="U800" s="2393"/>
      <c r="V800" s="2393"/>
      <c r="W800" s="2393"/>
      <c r="X800" s="2393"/>
      <c r="Y800" s="2393"/>
      <c r="Z800" s="2393"/>
      <c r="AA800" s="2393"/>
      <c r="AB800" s="2393"/>
      <c r="AC800" s="2393"/>
      <c r="AD800" s="239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3"/>
      <c r="F801" s="2393"/>
      <c r="G801" s="2393"/>
      <c r="H801" s="2393"/>
      <c r="I801" s="2393"/>
      <c r="J801" s="2393"/>
      <c r="K801" s="2393"/>
      <c r="L801" s="2393"/>
      <c r="M801" s="2393"/>
      <c r="N801" s="2393"/>
      <c r="O801" s="2393"/>
      <c r="P801" s="2393"/>
      <c r="Q801" s="2393"/>
      <c r="R801" s="2393"/>
      <c r="S801" s="2393"/>
      <c r="T801" s="2393"/>
      <c r="U801" s="2393"/>
      <c r="V801" s="2393"/>
      <c r="W801" s="2393"/>
      <c r="X801" s="2393"/>
      <c r="Y801" s="2393"/>
      <c r="Z801" s="2393"/>
      <c r="AA801" s="2393"/>
      <c r="AB801" s="2393"/>
      <c r="AC801" s="2393"/>
      <c r="AD801" s="239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5" t="s">
        <v>544</v>
      </c>
      <c r="I803" s="239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6">
        <f>VLOOKUP($H$803,$AO$797:$AP$798,2,FALSE)</f>
        <v>3</v>
      </c>
      <c r="AK805" s="239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3" t="s">
        <v>2593</v>
      </c>
      <c r="F809" s="2393"/>
      <c r="G809" s="2393"/>
      <c r="H809" s="2393"/>
      <c r="I809" s="2393"/>
      <c r="J809" s="2393"/>
      <c r="K809" s="2393"/>
      <c r="L809" s="2393"/>
      <c r="M809" s="2393"/>
      <c r="N809" s="2393"/>
      <c r="O809" s="2393"/>
      <c r="P809" s="2393"/>
      <c r="Q809" s="2393"/>
      <c r="R809" s="2393"/>
      <c r="S809" s="2393"/>
      <c r="T809" s="2393"/>
      <c r="U809" s="2393"/>
      <c r="V809" s="2393"/>
      <c r="W809" s="2393"/>
      <c r="X809" s="2393"/>
      <c r="Y809" s="2393"/>
      <c r="Z809" s="2393"/>
      <c r="AA809" s="2393"/>
      <c r="AB809" s="2393"/>
      <c r="AC809" s="2393"/>
      <c r="AD809" s="2393"/>
      <c r="AE809" s="550"/>
      <c r="AF809" s="2394" t="s">
        <v>1369</v>
      </c>
      <c r="AG809" s="2394"/>
      <c r="AH809" s="2394"/>
      <c r="AI809" s="2394"/>
      <c r="AJ809" s="2394"/>
      <c r="AK809" s="2394"/>
      <c r="AL809" s="2394"/>
      <c r="AN809" s="595"/>
    </row>
    <row r="810" spans="1:81" s="549" customFormat="1" ht="12.75" customHeight="1">
      <c r="B810" s="614"/>
      <c r="C810" s="684"/>
      <c r="D810" s="659"/>
      <c r="E810" s="2393"/>
      <c r="F810" s="2393"/>
      <c r="G810" s="2393"/>
      <c r="H810" s="2393"/>
      <c r="I810" s="2393"/>
      <c r="J810" s="2393"/>
      <c r="K810" s="2393"/>
      <c r="L810" s="2393"/>
      <c r="M810" s="2393"/>
      <c r="N810" s="2393"/>
      <c r="O810" s="2393"/>
      <c r="P810" s="2393"/>
      <c r="Q810" s="2393"/>
      <c r="R810" s="2393"/>
      <c r="S810" s="2393"/>
      <c r="T810" s="2393"/>
      <c r="U810" s="2393"/>
      <c r="V810" s="2393"/>
      <c r="W810" s="2393"/>
      <c r="X810" s="2393"/>
      <c r="Y810" s="2393"/>
      <c r="Z810" s="2393"/>
      <c r="AA810" s="2393"/>
      <c r="AB810" s="2393"/>
      <c r="AC810" s="2393"/>
      <c r="AD810" s="239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5" t="s">
        <v>590</v>
      </c>
      <c r="I812" s="239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96">
        <f>IF(H812="Yes",5,0)</f>
        <v>0</v>
      </c>
      <c r="AK814" s="239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6">
        <f>IF(($AJ$634+$AJ$653+$AJ$665+$AJ$700+$AJ$724+$AJ$738+$AJ$750+$AJ$766+$AJ$778+$AJ$794+AJ805+AJ814)&gt;10,10,($AJ$634+$AJ$653+$AJ$665+$AJ$700+$AJ$724+$AJ$738+$AJ$750+$AJ$766+$AJ$778+$AJ$794+AJ805+AJ814))</f>
        <v>10</v>
      </c>
      <c r="AL816" s="2442"/>
      <c r="AM816" s="239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3" t="s">
        <v>1556</v>
      </c>
      <c r="B819" s="2524"/>
      <c r="C819" s="2524"/>
      <c r="D819" s="2524"/>
      <c r="E819" s="2524"/>
      <c r="F819" s="2524"/>
      <c r="G819" s="2524"/>
      <c r="H819" s="2524"/>
      <c r="I819" s="2524"/>
      <c r="J819" s="2524"/>
      <c r="K819" s="2524"/>
      <c r="L819" s="2524"/>
      <c r="M819" s="2524"/>
      <c r="N819" s="2524"/>
      <c r="O819" s="2524"/>
      <c r="P819" s="2524"/>
      <c r="Q819" s="2524"/>
      <c r="R819" s="2524"/>
      <c r="S819" s="2524"/>
      <c r="T819" s="2524"/>
      <c r="U819" s="2524"/>
      <c r="V819" s="2524"/>
      <c r="W819" s="2524"/>
      <c r="X819" s="2524"/>
      <c r="Y819" s="2524"/>
      <c r="Z819" s="2524"/>
      <c r="AA819" s="2524"/>
      <c r="AB819" s="2524"/>
      <c r="AC819" s="2524"/>
      <c r="AD819" s="2524"/>
      <c r="AE819" s="2524"/>
      <c r="AF819" s="2524"/>
      <c r="AG819" s="2524"/>
      <c r="AH819" s="2524"/>
      <c r="AI819" s="2524"/>
      <c r="AJ819" s="2524"/>
      <c r="AK819" s="2524"/>
      <c r="AL819" s="2524"/>
      <c r="AM819" s="2524"/>
    </row>
    <row r="820" spans="1:43">
      <c r="A820" s="2525"/>
      <c r="B820" s="2525"/>
      <c r="C820" s="2525"/>
      <c r="D820" s="2525"/>
      <c r="E820" s="2525"/>
      <c r="F820" s="2525"/>
      <c r="G820" s="2525"/>
      <c r="H820" s="2525"/>
      <c r="I820" s="2525"/>
      <c r="J820" s="2525"/>
      <c r="K820" s="2525"/>
      <c r="L820" s="2525"/>
      <c r="M820" s="2525"/>
      <c r="N820" s="2525"/>
      <c r="O820" s="2525"/>
      <c r="P820" s="2525"/>
      <c r="Q820" s="2525"/>
      <c r="R820" s="2525"/>
      <c r="S820" s="2525"/>
      <c r="T820" s="2525"/>
      <c r="U820" s="2525"/>
      <c r="V820" s="2525"/>
      <c r="W820" s="2525"/>
      <c r="X820" s="2525"/>
      <c r="Y820" s="2525"/>
      <c r="Z820" s="2525"/>
      <c r="AA820" s="2525"/>
      <c r="AB820" s="2525"/>
      <c r="AC820" s="2525"/>
      <c r="AD820" s="2525"/>
      <c r="AE820" s="2525"/>
      <c r="AF820" s="2525"/>
      <c r="AG820" s="2525"/>
      <c r="AH820" s="2525"/>
      <c r="AI820" s="2525"/>
      <c r="AJ820" s="2525"/>
      <c r="AK820" s="2525"/>
      <c r="AL820" s="2525"/>
      <c r="AM820" s="252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9"/>
      <c r="B822" s="2469"/>
      <c r="C822" s="2469"/>
      <c r="D822" s="2469"/>
      <c r="E822" s="2469"/>
      <c r="F822" s="2469"/>
      <c r="G822" s="2469"/>
      <c r="H822" s="2469"/>
      <c r="I822" s="2469"/>
      <c r="J822" s="2469"/>
      <c r="K822" s="2469"/>
      <c r="L822" s="2469"/>
      <c r="M822" s="2469"/>
      <c r="N822" s="2469"/>
      <c r="O822" s="2469"/>
      <c r="P822" s="2469"/>
      <c r="Q822" s="2469"/>
      <c r="R822" s="2469"/>
      <c r="S822" s="2469"/>
      <c r="T822" s="2469"/>
      <c r="U822" s="2469"/>
      <c r="V822" s="2469"/>
      <c r="W822" s="2469"/>
      <c r="X822" s="2469"/>
      <c r="Y822" s="2469"/>
      <c r="Z822" s="2469"/>
      <c r="AA822" s="2469"/>
      <c r="AB822" s="2469"/>
      <c r="AC822" s="2469"/>
      <c r="AD822" s="2469"/>
      <c r="AE822" s="2469"/>
      <c r="AF822" s="2469"/>
      <c r="AG822" s="2469"/>
      <c r="AH822" s="2469"/>
      <c r="AI822" s="2469"/>
      <c r="AJ822" s="2469"/>
      <c r="AK822" s="2469"/>
      <c r="AL822" s="2469"/>
      <c r="AM822" s="2469"/>
      <c r="AP822" s="812"/>
      <c r="AQ822" s="812"/>
    </row>
    <row r="823" spans="1:43">
      <c r="A823" s="2469"/>
      <c r="B823" s="2469"/>
      <c r="C823" s="2469"/>
      <c r="D823" s="2469"/>
      <c r="E823" s="2469"/>
      <c r="F823" s="2469"/>
      <c r="G823" s="2469"/>
      <c r="H823" s="2469"/>
      <c r="I823" s="2469"/>
      <c r="J823" s="2469"/>
      <c r="K823" s="2469"/>
      <c r="L823" s="2469"/>
      <c r="M823" s="2469"/>
      <c r="N823" s="2469"/>
      <c r="O823" s="2469"/>
      <c r="P823" s="2469"/>
      <c r="Q823" s="2469"/>
      <c r="R823" s="2469"/>
      <c r="S823" s="2469"/>
      <c r="T823" s="2469"/>
      <c r="U823" s="2469"/>
      <c r="V823" s="2469"/>
      <c r="W823" s="2469"/>
      <c r="X823" s="2469"/>
      <c r="Y823" s="2469"/>
      <c r="Z823" s="2469"/>
      <c r="AA823" s="2469"/>
      <c r="AB823" s="2469"/>
      <c r="AC823" s="2469"/>
      <c r="AD823" s="2469"/>
      <c r="AE823" s="2469"/>
      <c r="AF823" s="2469"/>
      <c r="AG823" s="2469"/>
      <c r="AH823" s="2469"/>
      <c r="AI823" s="2469"/>
      <c r="AJ823" s="2469"/>
      <c r="AK823" s="2469"/>
      <c r="AL823" s="2469"/>
      <c r="AM823" s="2469"/>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6" t="s">
        <v>1557</v>
      </c>
      <c r="U824" s="2527"/>
      <c r="V824" s="2527"/>
      <c r="W824" s="2527"/>
      <c r="X824" s="2527"/>
      <c r="Y824" s="2528"/>
      <c r="Z824" s="2526" t="s">
        <v>1558</v>
      </c>
      <c r="AA824" s="2527"/>
      <c r="AB824" s="2527"/>
      <c r="AC824" s="2527"/>
      <c r="AD824" s="2527"/>
      <c r="AE824" s="2528"/>
      <c r="AF824" s="2526" t="s">
        <v>1559</v>
      </c>
      <c r="AG824" s="2527"/>
      <c r="AH824" s="2527"/>
      <c r="AI824" s="2527"/>
      <c r="AJ824" s="2527"/>
      <c r="AK824" s="252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9"/>
      <c r="U825" s="2530"/>
      <c r="V825" s="2530"/>
      <c r="W825" s="2530"/>
      <c r="X825" s="2530"/>
      <c r="Y825" s="2531"/>
      <c r="Z825" s="2529"/>
      <c r="AA825" s="2530"/>
      <c r="AB825" s="2530"/>
      <c r="AC825" s="2530"/>
      <c r="AD825" s="2530"/>
      <c r="AE825" s="2531"/>
      <c r="AF825" s="2529"/>
      <c r="AG825" s="2530"/>
      <c r="AH825" s="2530"/>
      <c r="AI825" s="2530"/>
      <c r="AJ825" s="2530"/>
      <c r="AK825" s="2531"/>
      <c r="AL825" s="814"/>
      <c r="AM825" s="594"/>
      <c r="AO825" s="812"/>
      <c r="AP825" s="812"/>
      <c r="AQ825" s="812"/>
    </row>
    <row r="826" spans="1:43">
      <c r="A826" s="815" t="s">
        <v>756</v>
      </c>
      <c r="B826" s="2484" t="str">
        <f>B7</f>
        <v xml:space="preserve">Acquisition/Rehabilitation Project Priorities </v>
      </c>
      <c r="C826" s="2484"/>
      <c r="D826" s="2484"/>
      <c r="E826" s="2484"/>
      <c r="F826" s="2484"/>
      <c r="G826" s="2484"/>
      <c r="H826" s="2484"/>
      <c r="I826" s="2484"/>
      <c r="J826" s="2484"/>
      <c r="K826" s="2484"/>
      <c r="L826" s="2484"/>
      <c r="M826" s="2484"/>
      <c r="N826" s="2484"/>
      <c r="O826" s="2484"/>
      <c r="P826" s="2484"/>
      <c r="Q826" s="2484"/>
      <c r="R826" s="2484"/>
      <c r="S826" s="2485"/>
      <c r="T826" s="2511">
        <f>AK61</f>
        <v>0</v>
      </c>
      <c r="U826" s="2488"/>
      <c r="V826" s="2488"/>
      <c r="W826" s="2488"/>
      <c r="X826" s="2488"/>
      <c r="Y826" s="2489"/>
      <c r="Z826" s="2487">
        <v>20</v>
      </c>
      <c r="AA826" s="2488"/>
      <c r="AB826" s="2488"/>
      <c r="AC826" s="2488"/>
      <c r="AD826" s="2488"/>
      <c r="AE826" s="2489"/>
      <c r="AF826" s="2467">
        <f>IF(T826&gt;Z826,Z826,T826)</f>
        <v>0</v>
      </c>
      <c r="AG826" s="2467"/>
      <c r="AH826" s="2467"/>
      <c r="AI826" s="2467"/>
      <c r="AJ826" s="2467"/>
      <c r="AK826" s="2467"/>
      <c r="AL826" s="814"/>
      <c r="AM826" s="594"/>
      <c r="AO826" s="812"/>
      <c r="AP826" s="812"/>
      <c r="AQ826" s="812"/>
    </row>
    <row r="827" spans="1:43">
      <c r="A827" s="815" t="s">
        <v>1530</v>
      </c>
      <c r="B827" s="2484" t="s">
        <v>1305</v>
      </c>
      <c r="C827" s="2484"/>
      <c r="D827" s="2484"/>
      <c r="E827" s="2484"/>
      <c r="F827" s="2484"/>
      <c r="G827" s="2484"/>
      <c r="H827" s="2484"/>
      <c r="I827" s="2484"/>
      <c r="J827" s="2484"/>
      <c r="K827" s="2484"/>
      <c r="L827" s="2484"/>
      <c r="M827" s="2484"/>
      <c r="N827" s="2484"/>
      <c r="O827" s="2484"/>
      <c r="P827" s="2484"/>
      <c r="Q827" s="2484"/>
      <c r="R827" s="2484"/>
      <c r="S827" s="2485"/>
      <c r="T827" s="2511">
        <f>AK83</f>
        <v>10</v>
      </c>
      <c r="U827" s="2488"/>
      <c r="V827" s="2488"/>
      <c r="W827" s="2488"/>
      <c r="X827" s="2488"/>
      <c r="Y827" s="2489"/>
      <c r="Z827" s="2487">
        <v>10</v>
      </c>
      <c r="AA827" s="2488"/>
      <c r="AB827" s="2488"/>
      <c r="AC827" s="2488"/>
      <c r="AD827" s="2488"/>
      <c r="AE827" s="2489"/>
      <c r="AF827" s="2467">
        <f>IF(T827&gt;Z827,Z827,T827)</f>
        <v>10</v>
      </c>
      <c r="AG827" s="2467"/>
      <c r="AH827" s="2467"/>
      <c r="AI827" s="2467"/>
      <c r="AJ827" s="2467"/>
      <c r="AK827" s="2467"/>
      <c r="AL827" s="814"/>
      <c r="AM827" s="594"/>
      <c r="AO827" s="812"/>
      <c r="AP827" s="812"/>
      <c r="AQ827" s="812"/>
    </row>
    <row r="828" spans="1:43">
      <c r="A828" s="815" t="s">
        <v>1539</v>
      </c>
      <c r="B828" s="2484" t="s">
        <v>1315</v>
      </c>
      <c r="C828" s="2484"/>
      <c r="D828" s="2484"/>
      <c r="E828" s="2484"/>
      <c r="F828" s="2484"/>
      <c r="G828" s="2484"/>
      <c r="H828" s="2484"/>
      <c r="I828" s="2484"/>
      <c r="J828" s="2484"/>
      <c r="K828" s="2484"/>
      <c r="L828" s="2484"/>
      <c r="M828" s="2484"/>
      <c r="N828" s="2484"/>
      <c r="O828" s="2484"/>
      <c r="P828" s="2484"/>
      <c r="Q828" s="2484"/>
      <c r="R828" s="2484"/>
      <c r="S828" s="2485"/>
      <c r="T828" s="2511">
        <f ca="1">AK108</f>
        <v>20</v>
      </c>
      <c r="U828" s="2488"/>
      <c r="V828" s="2488"/>
      <c r="W828" s="2488"/>
      <c r="X828" s="2488"/>
      <c r="Y828" s="2489"/>
      <c r="Z828" s="2487">
        <v>20</v>
      </c>
      <c r="AA828" s="2488"/>
      <c r="AB828" s="2488"/>
      <c r="AC828" s="2488"/>
      <c r="AD828" s="2488"/>
      <c r="AE828" s="2489"/>
      <c r="AF828" s="2467">
        <f ca="1">IF(T828&gt;Z828,Z828,T828)</f>
        <v>20</v>
      </c>
      <c r="AG828" s="2467"/>
      <c r="AH828" s="2467"/>
      <c r="AI828" s="2467"/>
      <c r="AJ828" s="2467"/>
      <c r="AK828" s="2467"/>
      <c r="AL828" s="814"/>
      <c r="AM828" s="594"/>
      <c r="AO828" s="812"/>
      <c r="AP828" s="812"/>
      <c r="AQ828" s="812"/>
    </row>
    <row r="829" spans="1:43">
      <c r="A829" s="815" t="s">
        <v>1560</v>
      </c>
      <c r="B829" s="2484" t="s">
        <v>1325</v>
      </c>
      <c r="C829" s="2484"/>
      <c r="D829" s="2484"/>
      <c r="E829" s="2484"/>
      <c r="F829" s="2484"/>
      <c r="G829" s="2484"/>
      <c r="H829" s="2484"/>
      <c r="I829" s="2484"/>
      <c r="J829" s="2484"/>
      <c r="K829" s="2484"/>
      <c r="L829" s="2484"/>
      <c r="M829" s="2484"/>
      <c r="N829" s="2484"/>
      <c r="O829" s="2484"/>
      <c r="P829" s="2484"/>
      <c r="Q829" s="2484"/>
      <c r="R829" s="2484"/>
      <c r="S829" s="2485"/>
      <c r="T829" s="2511">
        <f>AK142</f>
        <v>10</v>
      </c>
      <c r="U829" s="2488"/>
      <c r="V829" s="2488"/>
      <c r="W829" s="2488"/>
      <c r="X829" s="2488"/>
      <c r="Y829" s="2489"/>
      <c r="Z829" s="2487">
        <v>10</v>
      </c>
      <c r="AA829" s="2488"/>
      <c r="AB829" s="2488"/>
      <c r="AC829" s="2488"/>
      <c r="AD829" s="2488"/>
      <c r="AE829" s="2489"/>
      <c r="AF829" s="2467">
        <f>IF(T829&gt;Z829,Z829,T829)</f>
        <v>10</v>
      </c>
      <c r="AG829" s="2467"/>
      <c r="AH829" s="2467"/>
      <c r="AI829" s="2467"/>
      <c r="AJ829" s="2467"/>
      <c r="AK829" s="2467"/>
      <c r="AL829" s="814"/>
      <c r="AM829" s="594"/>
      <c r="AO829" s="812"/>
      <c r="AP829" s="812"/>
      <c r="AQ829" s="812"/>
    </row>
    <row r="830" spans="1:43">
      <c r="A830" s="816" t="s">
        <v>1561</v>
      </c>
      <c r="B830" s="2484" t="s">
        <v>1562</v>
      </c>
      <c r="C830" s="2484"/>
      <c r="D830" s="2484"/>
      <c r="E830" s="2484"/>
      <c r="F830" s="2484"/>
      <c r="G830" s="2484"/>
      <c r="H830" s="2484"/>
      <c r="I830" s="2484"/>
      <c r="J830" s="2484"/>
      <c r="K830" s="2484"/>
      <c r="L830" s="2484"/>
      <c r="M830" s="2484"/>
      <c r="N830" s="2484"/>
      <c r="O830" s="2484"/>
      <c r="P830" s="2484"/>
      <c r="Q830" s="2484"/>
      <c r="R830" s="2484"/>
      <c r="S830" s="2485"/>
      <c r="T830" s="2486">
        <f>SUM(T831:Y832)</f>
        <v>10</v>
      </c>
      <c r="U830" s="2486"/>
      <c r="V830" s="2486"/>
      <c r="W830" s="2486"/>
      <c r="X830" s="2486"/>
      <c r="Y830" s="2486"/>
      <c r="Z830" s="2467">
        <v>10</v>
      </c>
      <c r="AA830" s="2467"/>
      <c r="AB830" s="2467"/>
      <c r="AC830" s="2467"/>
      <c r="AD830" s="2467"/>
      <c r="AE830" s="2467"/>
      <c r="AF830" s="2467">
        <f>IF(T830&gt;Z830,Z830,T830)</f>
        <v>10</v>
      </c>
      <c r="AG830" s="2467"/>
      <c r="AH830" s="2467"/>
      <c r="AI830" s="2467"/>
      <c r="AJ830" s="2467"/>
      <c r="AK830" s="2467"/>
      <c r="AL830" s="814"/>
      <c r="AM830" s="594"/>
    </row>
    <row r="831" spans="1:43">
      <c r="A831" s="535"/>
      <c r="B831" s="599"/>
      <c r="C831" s="2490" t="s">
        <v>1563</v>
      </c>
      <c r="D831" s="2490"/>
      <c r="E831" s="2490"/>
      <c r="F831" s="2490"/>
      <c r="G831" s="2490"/>
      <c r="H831" s="2490"/>
      <c r="I831" s="2490"/>
      <c r="J831" s="2490"/>
      <c r="K831" s="2490"/>
      <c r="L831" s="2490"/>
      <c r="M831" s="2490"/>
      <c r="N831" s="2490"/>
      <c r="O831" s="2490"/>
      <c r="P831" s="2490"/>
      <c r="Q831" s="2490"/>
      <c r="R831" s="2490"/>
      <c r="S831" s="2491"/>
      <c r="T831" s="2492">
        <f>AJ165</f>
        <v>7</v>
      </c>
      <c r="U831" s="2492"/>
      <c r="V831" s="2492"/>
      <c r="W831" s="2492"/>
      <c r="X831" s="2492"/>
      <c r="Y831" s="2492"/>
      <c r="Z831" s="2493">
        <v>7</v>
      </c>
      <c r="AA831" s="2493"/>
      <c r="AB831" s="2493"/>
      <c r="AC831" s="2493"/>
      <c r="AD831" s="2493"/>
      <c r="AE831" s="2493"/>
      <c r="AF831" s="2494"/>
      <c r="AG831" s="2494"/>
      <c r="AH831" s="2494"/>
      <c r="AI831" s="2494"/>
      <c r="AJ831" s="2494"/>
      <c r="AK831" s="2494"/>
      <c r="AL831" s="814"/>
      <c r="AM831" s="594"/>
    </row>
    <row r="832" spans="1:43">
      <c r="A832" s="598"/>
      <c r="B832" s="599"/>
      <c r="C832" s="2490" t="s">
        <v>1564</v>
      </c>
      <c r="D832" s="2490"/>
      <c r="E832" s="2490"/>
      <c r="F832" s="2490"/>
      <c r="G832" s="2490"/>
      <c r="H832" s="2490"/>
      <c r="I832" s="2490"/>
      <c r="J832" s="2490"/>
      <c r="K832" s="2490"/>
      <c r="L832" s="2490"/>
      <c r="M832" s="2490"/>
      <c r="N832" s="2490"/>
      <c r="O832" s="2490"/>
      <c r="P832" s="2490"/>
      <c r="Q832" s="2490"/>
      <c r="R832" s="2490"/>
      <c r="S832" s="2491"/>
      <c r="T832" s="2492">
        <f>AJ179</f>
        <v>3</v>
      </c>
      <c r="U832" s="2492"/>
      <c r="V832" s="2492"/>
      <c r="W832" s="2492"/>
      <c r="X832" s="2492"/>
      <c r="Y832" s="2492"/>
      <c r="Z832" s="2493">
        <v>3</v>
      </c>
      <c r="AA832" s="2493"/>
      <c r="AB832" s="2493"/>
      <c r="AC832" s="2493"/>
      <c r="AD832" s="2493"/>
      <c r="AE832" s="2493"/>
      <c r="AF832" s="2494"/>
      <c r="AG832" s="2494"/>
      <c r="AH832" s="2494"/>
      <c r="AI832" s="2494"/>
      <c r="AJ832" s="2494"/>
      <c r="AK832" s="2494"/>
      <c r="AL832" s="814"/>
      <c r="AM832" s="594"/>
      <c r="AO832" s="549"/>
    </row>
    <row r="833" spans="1:81">
      <c r="A833" s="816" t="s">
        <v>1353</v>
      </c>
      <c r="B833" s="2484" t="s">
        <v>1565</v>
      </c>
      <c r="C833" s="2484"/>
      <c r="D833" s="2484"/>
      <c r="E833" s="2484"/>
      <c r="F833" s="2484"/>
      <c r="G833" s="2484"/>
      <c r="H833" s="2484"/>
      <c r="I833" s="2484"/>
      <c r="J833" s="2484"/>
      <c r="K833" s="2484"/>
      <c r="L833" s="2484"/>
      <c r="M833" s="2484"/>
      <c r="N833" s="2484"/>
      <c r="O833" s="2484"/>
      <c r="P833" s="2484"/>
      <c r="Q833" s="2484"/>
      <c r="R833" s="2484"/>
      <c r="S833" s="2485"/>
      <c r="T833" s="2486">
        <f>AK190</f>
        <v>10</v>
      </c>
      <c r="U833" s="2486"/>
      <c r="V833" s="2486"/>
      <c r="W833" s="2486"/>
      <c r="X833" s="2486"/>
      <c r="Y833" s="2486"/>
      <c r="Z833" s="2467">
        <v>10</v>
      </c>
      <c r="AA833" s="2467"/>
      <c r="AB833" s="2467"/>
      <c r="AC833" s="2467"/>
      <c r="AD833" s="2467"/>
      <c r="AE833" s="2467"/>
      <c r="AF833" s="2467">
        <f>IF(T833&gt;Z833,Z833,T833)</f>
        <v>10</v>
      </c>
      <c r="AG833" s="2467"/>
      <c r="AH833" s="2467"/>
      <c r="AI833" s="2467"/>
      <c r="AJ833" s="2467"/>
      <c r="AK833" s="2467"/>
      <c r="AL833" s="814"/>
      <c r="AM833" s="594"/>
    </row>
    <row r="834" spans="1:81" hidden="1">
      <c r="A834" s="815" t="s">
        <v>1361</v>
      </c>
      <c r="B834" s="2484" t="s">
        <v>1362</v>
      </c>
      <c r="C834" s="2484"/>
      <c r="D834" s="2484"/>
      <c r="E834" s="2484"/>
      <c r="F834" s="2484"/>
      <c r="G834" s="2484"/>
      <c r="H834" s="2484"/>
      <c r="I834" s="2484"/>
      <c r="J834" s="2484"/>
      <c r="K834" s="2484"/>
      <c r="L834" s="2484"/>
      <c r="M834" s="2484"/>
      <c r="N834" s="2484"/>
      <c r="O834" s="2484"/>
      <c r="P834" s="2484"/>
      <c r="Q834" s="2484"/>
      <c r="R834" s="2484"/>
      <c r="S834" s="2485"/>
      <c r="T834" s="2486">
        <f>AK272</f>
        <v>0</v>
      </c>
      <c r="U834" s="2486"/>
      <c r="V834" s="2486"/>
      <c r="W834" s="2486"/>
      <c r="X834" s="2486"/>
      <c r="Y834" s="2486"/>
      <c r="Z834" s="2487">
        <v>8</v>
      </c>
      <c r="AA834" s="2488"/>
      <c r="AB834" s="2488"/>
      <c r="AC834" s="2488"/>
      <c r="AD834" s="2488"/>
      <c r="AE834" s="2489"/>
      <c r="AF834" s="2467"/>
      <c r="AG834" s="2467"/>
      <c r="AH834" s="2467"/>
      <c r="AI834" s="2467"/>
      <c r="AJ834" s="2467"/>
      <c r="AK834" s="2467"/>
      <c r="AL834" s="814"/>
      <c r="AM834" s="594"/>
    </row>
    <row r="835" spans="1:81" s="534" customFormat="1" hidden="1">
      <c r="A835" s="816" t="s">
        <v>588</v>
      </c>
      <c r="B835" s="2484" t="s">
        <v>1566</v>
      </c>
      <c r="C835" s="2484"/>
      <c r="D835" s="2484"/>
      <c r="E835" s="2484"/>
      <c r="F835" s="2484"/>
      <c r="G835" s="2484"/>
      <c r="H835" s="2484"/>
      <c r="I835" s="2484"/>
      <c r="J835" s="2484"/>
      <c r="K835" s="2484"/>
      <c r="L835" s="2484"/>
      <c r="M835" s="2484"/>
      <c r="N835" s="2484"/>
      <c r="O835" s="2484"/>
      <c r="P835" s="2484"/>
      <c r="Q835" s="2484"/>
      <c r="R835" s="2484"/>
      <c r="S835" s="2485"/>
      <c r="T835" s="2486">
        <f>IF(AK548&gt;5,5,AK548)</f>
        <v>0</v>
      </c>
      <c r="U835" s="2486"/>
      <c r="V835" s="2486"/>
      <c r="W835" s="2486"/>
      <c r="X835" s="2486"/>
      <c r="Y835" s="2486"/>
      <c r="Z835" s="2467">
        <v>5</v>
      </c>
      <c r="AA835" s="2467"/>
      <c r="AB835" s="2467"/>
      <c r="AC835" s="2467"/>
      <c r="AD835" s="2467"/>
      <c r="AE835" s="2467"/>
      <c r="AF835" s="2467"/>
      <c r="AG835" s="2467"/>
      <c r="AH835" s="2467"/>
      <c r="AI835" s="2467"/>
      <c r="AJ835" s="2467"/>
      <c r="AK835" s="2467"/>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4" t="str">
        <f>B275</f>
        <v>Readiness to Proceed</v>
      </c>
      <c r="C836" s="2484"/>
      <c r="D836" s="2484"/>
      <c r="E836" s="2484"/>
      <c r="F836" s="2484"/>
      <c r="G836" s="2484"/>
      <c r="H836" s="2484"/>
      <c r="I836" s="2484"/>
      <c r="J836" s="2484"/>
      <c r="K836" s="2484"/>
      <c r="L836" s="2484"/>
      <c r="M836" s="2484"/>
      <c r="N836" s="2484"/>
      <c r="O836" s="2484"/>
      <c r="P836" s="2484"/>
      <c r="Q836" s="2484"/>
      <c r="R836" s="2484"/>
      <c r="S836" s="2485"/>
      <c r="T836" s="2486">
        <f>AK298</f>
        <v>10</v>
      </c>
      <c r="U836" s="2486"/>
      <c r="V836" s="2486"/>
      <c r="W836" s="2486"/>
      <c r="X836" s="2486"/>
      <c r="Y836" s="2486"/>
      <c r="Z836" s="2467">
        <v>10</v>
      </c>
      <c r="AA836" s="2467"/>
      <c r="AB836" s="2467"/>
      <c r="AC836" s="2467"/>
      <c r="AD836" s="2467"/>
      <c r="AE836" s="2467"/>
      <c r="AF836" s="2495">
        <f>IF(T836&gt;Z836,Z836,T836)</f>
        <v>10</v>
      </c>
      <c r="AG836" s="2496"/>
      <c r="AH836" s="2496"/>
      <c r="AI836" s="2496"/>
      <c r="AJ836" s="2496"/>
      <c r="AK836" s="249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4" t="str">
        <f>B301</f>
        <v>Access to Opportunity</v>
      </c>
      <c r="C837" s="2484"/>
      <c r="D837" s="2484"/>
      <c r="E837" s="2484"/>
      <c r="F837" s="2484"/>
      <c r="G837" s="2484"/>
      <c r="H837" s="2484"/>
      <c r="I837" s="2484"/>
      <c r="J837" s="2484"/>
      <c r="K837" s="2484"/>
      <c r="L837" s="2484"/>
      <c r="M837" s="2484"/>
      <c r="N837" s="2484"/>
      <c r="O837" s="2484"/>
      <c r="P837" s="2484"/>
      <c r="Q837" s="2484"/>
      <c r="R837" s="2484"/>
      <c r="S837" s="2485"/>
      <c r="T837" s="2486">
        <f>AK351</f>
        <v>10</v>
      </c>
      <c r="U837" s="2486"/>
      <c r="V837" s="2486"/>
      <c r="W837" s="2486"/>
      <c r="X837" s="2486"/>
      <c r="Y837" s="2486"/>
      <c r="Z837" s="2495">
        <v>10</v>
      </c>
      <c r="AA837" s="2496"/>
      <c r="AB837" s="2496"/>
      <c r="AC837" s="2496"/>
      <c r="AD837" s="2496"/>
      <c r="AE837" s="2497"/>
      <c r="AF837" s="2495">
        <f>IF(T837&gt;Z837,Z837,T837)</f>
        <v>10</v>
      </c>
      <c r="AG837" s="2496"/>
      <c r="AH837" s="2496"/>
      <c r="AI837" s="2496"/>
      <c r="AJ837" s="2496"/>
      <c r="AK837" s="249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92">
        <f>AK351</f>
        <v>10</v>
      </c>
      <c r="U838" s="2492"/>
      <c r="V838" s="2492"/>
      <c r="W838" s="2492"/>
      <c r="X838" s="2492"/>
      <c r="Y838" s="2492"/>
      <c r="Z838" s="2396">
        <v>20</v>
      </c>
      <c r="AA838" s="2442"/>
      <c r="AB838" s="2442"/>
      <c r="AC838" s="2442"/>
      <c r="AD838" s="2442"/>
      <c r="AE838" s="2397"/>
      <c r="AF838" s="2494"/>
      <c r="AG838" s="2494"/>
      <c r="AH838" s="2494"/>
      <c r="AI838" s="2494"/>
      <c r="AJ838" s="2494"/>
      <c r="AK838" s="249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4" t="s">
        <v>844</v>
      </c>
      <c r="C839" s="2484"/>
      <c r="D839" s="2484"/>
      <c r="E839" s="2484"/>
      <c r="F839" s="2484"/>
      <c r="G839" s="2484"/>
      <c r="H839" s="2484"/>
      <c r="I839" s="2484"/>
      <c r="J839" s="2484"/>
      <c r="K839" s="2484"/>
      <c r="L839" s="2484"/>
      <c r="M839" s="2484"/>
      <c r="N839" s="2484"/>
      <c r="O839" s="2484"/>
      <c r="P839" s="2484"/>
      <c r="Q839" s="2484"/>
      <c r="R839" s="2484"/>
      <c r="S839" s="2485"/>
      <c r="T839" s="2486">
        <f>AK482</f>
        <v>10</v>
      </c>
      <c r="U839" s="2486"/>
      <c r="V839" s="2486"/>
      <c r="W839" s="2486"/>
      <c r="X839" s="2486"/>
      <c r="Y839" s="2486"/>
      <c r="Z839" s="2495">
        <v>10</v>
      </c>
      <c r="AA839" s="2496"/>
      <c r="AB839" s="2496"/>
      <c r="AC839" s="2496"/>
      <c r="AD839" s="2496"/>
      <c r="AE839" s="2497"/>
      <c r="AF839" s="2467">
        <f>IF(T839&gt;Z839,Z839,T839)</f>
        <v>10</v>
      </c>
      <c r="AG839" s="2467"/>
      <c r="AH839" s="2467"/>
      <c r="AI839" s="2467"/>
      <c r="AJ839" s="2467"/>
      <c r="AK839" s="2467"/>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4" t="s">
        <v>1548</v>
      </c>
      <c r="C840" s="2484"/>
      <c r="D840" s="2484"/>
      <c r="E840" s="2484"/>
      <c r="F840" s="2484"/>
      <c r="G840" s="2484"/>
      <c r="H840" s="2484"/>
      <c r="I840" s="2484"/>
      <c r="J840" s="2484"/>
      <c r="K840" s="2484"/>
      <c r="L840" s="2484"/>
      <c r="M840" s="2484"/>
      <c r="N840" s="2484"/>
      <c r="O840" s="2484"/>
      <c r="P840" s="2484"/>
      <c r="Q840" s="2484"/>
      <c r="R840" s="2484"/>
      <c r="S840" s="2485"/>
      <c r="T840" s="2486">
        <f>AK572</f>
        <v>12</v>
      </c>
      <c r="U840" s="2486"/>
      <c r="V840" s="2486"/>
      <c r="W840" s="2486"/>
      <c r="X840" s="2486"/>
      <c r="Y840" s="2486"/>
      <c r="Z840" s="2495">
        <v>12</v>
      </c>
      <c r="AA840" s="2496"/>
      <c r="AB840" s="2496"/>
      <c r="AC840" s="2496"/>
      <c r="AD840" s="2496"/>
      <c r="AE840" s="2497"/>
      <c r="AF840" s="2467">
        <f>IF(T840&gt;Z840,Z840,T840)</f>
        <v>12</v>
      </c>
      <c r="AG840" s="2467"/>
      <c r="AH840" s="2467"/>
      <c r="AI840" s="2467"/>
      <c r="AJ840" s="2467"/>
      <c r="AK840" s="2467"/>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4" t="s">
        <v>1568</v>
      </c>
      <c r="C841" s="2484"/>
      <c r="D841" s="2484"/>
      <c r="E841" s="2484"/>
      <c r="F841" s="2484"/>
      <c r="G841" s="2484"/>
      <c r="H841" s="2484"/>
      <c r="I841" s="2484"/>
      <c r="J841" s="2484"/>
      <c r="K841" s="2484"/>
      <c r="L841" s="2484"/>
      <c r="M841" s="2484"/>
      <c r="N841" s="2484"/>
      <c r="O841" s="2484"/>
      <c r="P841" s="2484"/>
      <c r="Q841" s="2484"/>
      <c r="R841" s="2484"/>
      <c r="S841" s="2485"/>
      <c r="T841" s="2486">
        <f>AK816</f>
        <v>10</v>
      </c>
      <c r="U841" s="2486"/>
      <c r="V841" s="2486"/>
      <c r="W841" s="2486"/>
      <c r="X841" s="2486"/>
      <c r="Y841" s="2486"/>
      <c r="Z841" s="2495">
        <v>10</v>
      </c>
      <c r="AA841" s="2496"/>
      <c r="AB841" s="2496"/>
      <c r="AC841" s="2496"/>
      <c r="AD841" s="2496"/>
      <c r="AE841" s="2497"/>
      <c r="AF841" s="2467">
        <f>IF(T841&gt;Z841,Z841,T841)</f>
        <v>10</v>
      </c>
      <c r="AG841" s="2467"/>
      <c r="AH841" s="2467"/>
      <c r="AI841" s="2467"/>
      <c r="AJ841" s="2467"/>
      <c r="AK841" s="2467"/>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498"/>
      <c r="U842" s="2498"/>
      <c r="V842" s="2498"/>
      <c r="W842" s="2498"/>
      <c r="X842" s="2498"/>
      <c r="Y842" s="2498"/>
      <c r="Z842" s="2493" t="s">
        <v>1570</v>
      </c>
      <c r="AA842" s="2493"/>
      <c r="AB842" s="2493"/>
      <c r="AC842" s="2493"/>
      <c r="AD842" s="2493"/>
      <c r="AE842" s="2493"/>
      <c r="AF842" s="2495">
        <f>ABS(T842)</f>
        <v>0</v>
      </c>
      <c r="AG842" s="2496"/>
      <c r="AH842" s="2496"/>
      <c r="AI842" s="2496"/>
      <c r="AJ842" s="2496"/>
      <c r="AK842" s="249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9" t="s">
        <v>1571</v>
      </c>
      <c r="B843" s="2500"/>
      <c r="C843" s="2500"/>
      <c r="D843" s="2500"/>
      <c r="E843" s="2500"/>
      <c r="F843" s="2500"/>
      <c r="G843" s="2500"/>
      <c r="H843" s="2500"/>
      <c r="I843" s="2500"/>
      <c r="J843" s="2500"/>
      <c r="K843" s="2500"/>
      <c r="L843" s="2500"/>
      <c r="M843" s="2500"/>
      <c r="N843" s="2500"/>
      <c r="O843" s="2500"/>
      <c r="P843" s="2500"/>
      <c r="Q843" s="2500"/>
      <c r="R843" s="2500"/>
      <c r="S843" s="2500"/>
      <c r="T843" s="2500"/>
      <c r="U843" s="2500"/>
      <c r="V843" s="2500"/>
      <c r="W843" s="2500"/>
      <c r="X843" s="2500"/>
      <c r="Y843" s="2500"/>
      <c r="Z843" s="2500"/>
      <c r="AA843" s="2500"/>
      <c r="AB843" s="2500"/>
      <c r="AC843" s="2500"/>
      <c r="AD843" s="2500"/>
      <c r="AE843" s="2501"/>
      <c r="AF843" s="2505">
        <f ca="1">SUM(AF826:AK841)-AF842</f>
        <v>112</v>
      </c>
      <c r="AG843" s="2506"/>
      <c r="AH843" s="2506"/>
      <c r="AI843" s="2506"/>
      <c r="AJ843" s="2506"/>
      <c r="AK843" s="250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2"/>
      <c r="B844" s="2503"/>
      <c r="C844" s="2503"/>
      <c r="D844" s="2503"/>
      <c r="E844" s="2503"/>
      <c r="F844" s="2503"/>
      <c r="G844" s="2503"/>
      <c r="H844" s="2503"/>
      <c r="I844" s="2503"/>
      <c r="J844" s="2503"/>
      <c r="K844" s="2503"/>
      <c r="L844" s="2503"/>
      <c r="M844" s="2503"/>
      <c r="N844" s="2503"/>
      <c r="O844" s="2503"/>
      <c r="P844" s="2503"/>
      <c r="Q844" s="2503"/>
      <c r="R844" s="2503"/>
      <c r="S844" s="2503"/>
      <c r="T844" s="2503"/>
      <c r="U844" s="2503"/>
      <c r="V844" s="2503"/>
      <c r="W844" s="2503"/>
      <c r="X844" s="2503"/>
      <c r="Y844" s="2503"/>
      <c r="Z844" s="2503"/>
      <c r="AA844" s="2503"/>
      <c r="AB844" s="2503"/>
      <c r="AC844" s="2503"/>
      <c r="AD844" s="2503"/>
      <c r="AE844" s="2504"/>
      <c r="AF844" s="2508"/>
      <c r="AG844" s="2509"/>
      <c r="AH844" s="2509"/>
      <c r="AI844" s="2509"/>
      <c r="AJ844" s="2509"/>
      <c r="AK844" s="251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Skyler Modrzejewski</cp:lastModifiedBy>
  <cp:lastPrinted>2024-12-09T20:28:29Z</cp:lastPrinted>
  <dcterms:created xsi:type="dcterms:W3CDTF">2007-12-27T18:26:28Z</dcterms:created>
  <dcterms:modified xsi:type="dcterms:W3CDTF">2026-05-18T22:35:40Z</dcterms:modified>
</cp:coreProperties>
</file>